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userName="s273689" algorithmName="SHA-512" hashValue="JLnI9Dz58cK4QeTM5b5xeUqfDgRY5p3A8/7O5d9rjrcA5FI/JBfdDxigTQbeIQ7c8gW/xveSlJwh6U9hMZN/PA==" saltValue="DKRjXjx/UIJXTmmIGXC5eg==" spinCount="100000"/>
  <workbookPr filterPrivacy="1" codeName="ThisWorkbook" defaultThemeVersion="124226"/>
  <xr:revisionPtr revIDLastSave="0" documentId="8_{18AE8C54-1385-4A7D-A43D-B26F24289F39}" xr6:coauthVersionLast="47" xr6:coauthVersionMax="47" xr10:uidLastSave="{00000000-0000-0000-0000-000000000000}"/>
  <bookViews>
    <workbookView xWindow="-120" yWindow="-120" windowWidth="29040" windowHeight="15720" tabRatio="1000" xr2:uid="{00000000-000D-0000-FFFF-FFFF00000000}"/>
  </bookViews>
  <sheets>
    <sheet name="TCOS" sheetId="2" r:id="rId1"/>
    <sheet name="WS A - Rate Base Support" sheetId="38" r:id="rId2"/>
    <sheet name="WS B ADIT &amp; ITC" sheetId="5" r:id="rId3"/>
    <sheet name="WS B-1 - Actual Stmt. AF" sheetId="36" r:id="rId4"/>
    <sheet name="WS B-2 - Actual Stmt. AG" sheetId="37" r:id="rId5"/>
    <sheet name="WS B-3" sheetId="43" r:id="rId6"/>
    <sheet name="WS-B-3-A-Remeas Suprt" sheetId="44" r:id="rId7"/>
    <sheet name="WS C  - Working Capital" sheetId="6" r:id="rId8"/>
    <sheet name="WS D IPP Credits" sheetId="7" r:id="rId9"/>
    <sheet name="WS E Rev Credits" sheetId="8" r:id="rId10"/>
    <sheet name="WS F Misc Exp" sheetId="9" r:id="rId11"/>
    <sheet name="WS G  State Tax Rate" sheetId="10" r:id="rId12"/>
    <sheet name="WS H-p1 Other Taxes" sheetId="11" r:id="rId13"/>
    <sheet name="WS H-p2 Detail of Tax Amts" sheetId="31" r:id="rId14"/>
    <sheet name="WS I RESERVED" sheetId="12" r:id="rId15"/>
    <sheet name="WS K TRUE-UP RTEP RR" sheetId="13" state="hidden" r:id="rId16"/>
    <sheet name="WS J PROJECTED RTEP RR" sheetId="20" r:id="rId17"/>
    <sheet name="WS R Schedule 1A" sheetId="41" r:id="rId18"/>
    <sheet name="WS L RESERVED" sheetId="14" r:id="rId19"/>
    <sheet name="WS M - Cost of Capital" sheetId="39" r:id="rId20"/>
    <sheet name="WS N - Sale of Plant Held" sheetId="21" r:id="rId21"/>
    <sheet name="Worksheet O" sheetId="40" r:id="rId22"/>
    <sheet name="WS P Dep. Rates" sheetId="32" r:id="rId23"/>
    <sheet name="WS Q Cap Structure" sheetId="34" r:id="rId24"/>
    <sheet name="WS R Interest" sheetId="35" r:id="rId25"/>
    <sheet name="WS R Schedule 12" sheetId="42" r:id="rId26"/>
  </sheets>
  <definedNames>
    <definedName name="_NPh1" localSheetId="6">#REF!</definedName>
    <definedName name="_NPh1">#REF!</definedName>
    <definedName name="ActExcessAmt" localSheetId="6">#REF!</definedName>
    <definedName name="ActExcessAmt">#REF!</definedName>
    <definedName name="ActGrTaxAmt" localSheetId="6">#REF!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dminChg">#REF!</definedName>
    <definedName name="AEP">#REF!</definedName>
    <definedName name="allocator">#REF!</definedName>
    <definedName name="allocators">#REF!</definedName>
    <definedName name="allocatorsSWP">#REF!</definedName>
    <definedName name="allocatorSWP1">#REF!</definedName>
    <definedName name="APCO">#REF!</definedName>
    <definedName name="APCo_Hist_Allocators" localSheetId="21">#REF!</definedName>
    <definedName name="APCo_Hist_Allocators" localSheetId="1">#REF!</definedName>
    <definedName name="APCo_Hist_Allocators" localSheetId="13">#REF!</definedName>
    <definedName name="APCo_Hist_Allocators" localSheetId="19">#REF!</definedName>
    <definedName name="APCo_Hist_Allocators" localSheetId="25">TCOS!#REF!</definedName>
    <definedName name="APCo_Hist_Allocators" localSheetId="6">#REF!</definedName>
    <definedName name="APCo_Hist_Allocators">TCOS!#REF!</definedName>
    <definedName name="APCo_Proj_Allocators" localSheetId="13">#REF!</definedName>
    <definedName name="APCo_Proj_Allocators" localSheetId="6">#REF!</definedName>
    <definedName name="APCo_Proj_Allocators">#REF!</definedName>
    <definedName name="APCo_TU_Allocators" localSheetId="13">#REF!</definedName>
    <definedName name="APCo_TU_Allocators">#REF!</definedName>
    <definedName name="AVRGPWRFCTR">#REF!</definedName>
    <definedName name="B1HRSCRMO">#REF!</definedName>
    <definedName name="B2HRSCRMO">#REF!</definedName>
    <definedName name="BASERATECHG">#REF!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TTrueUp">#REF!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CALCPFCC">#REF!</definedName>
    <definedName name="CAPDEFA">#REF!</definedName>
    <definedName name="CBLKWH">#REF!</definedName>
    <definedName name="City">#REF!</definedName>
    <definedName name="CNTRCTDMND">#REF!</definedName>
    <definedName name="CoPhoneLine">#REF!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TMRCHG">#REF!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Year">#REF!</definedName>
    <definedName name="CustAddr1">#REF!</definedName>
    <definedName name="CustAddr2">#REF!</definedName>
    <definedName name="CustCityStZip">#REF!</definedName>
    <definedName name="CustName2">#REF!</definedName>
    <definedName name="CustTable">#REF!</definedName>
    <definedName name="DetailTotCbl">#REF!</definedName>
    <definedName name="DetailTotChg">#REF!</definedName>
    <definedName name="DetailTotKw">#REF!</definedName>
    <definedName name="DetailTotMargin">#REF!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XOfpKvaChg">#REF!</definedName>
    <definedName name="DisXOfpKwChg">#REF!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EDRBASE">#REF!</definedName>
    <definedName name="EDRDATE">#REF!</definedName>
    <definedName name="EDRDSCNT">#REF!</definedName>
    <definedName name="EDRLVLPCT">#REF!</definedName>
    <definedName name="EDRTYPE">#REF!</definedName>
    <definedName name="EffDate">#REF!</definedName>
    <definedName name="ELKMCGN1">#REF!</definedName>
    <definedName name="ELKMCGN2">#REF!</definedName>
    <definedName name="ENDDTM">#REF!</definedName>
    <definedName name="ENDTIME">#REF!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XCSKVACHG">#REF!</definedName>
    <definedName name="EXCSKVADMND">#REF!</definedName>
    <definedName name="EXCSKVAR">#REF!</definedName>
    <definedName name="FIRMKWH">#REF!</definedName>
    <definedName name="FIRSTDAY">#REF!</definedName>
    <definedName name="FRMCPCT">#REF!</definedName>
    <definedName name="FUELCHG">#REF!</definedName>
    <definedName name="FUELRATE">#REF!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HIPREKW">#REF!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IM_Allocators" localSheetId="21">#REF!</definedName>
    <definedName name="IM_Allocators" localSheetId="1">#REF!</definedName>
    <definedName name="IM_Allocators" localSheetId="13">#REF!</definedName>
    <definedName name="IM_Allocators" localSheetId="19">#REF!</definedName>
    <definedName name="IM_Allocators" localSheetId="25">TCOS!#REF!</definedName>
    <definedName name="IM_Allocators" localSheetId="6">#REF!</definedName>
    <definedName name="IM_Allocators">TCOS!#REF!</definedName>
    <definedName name="IMCO">#REF!</definedName>
    <definedName name="InterruptCapacity">#REF!</definedName>
    <definedName name="InterruptOfpCapacity">#REF!</definedName>
    <definedName name="InterruptType">#REF!</definedName>
    <definedName name="INTRPBLCAP">#REF!</definedName>
    <definedName name="Invdetails">#REF!</definedName>
    <definedName name="KWCHG">#REF!</definedName>
    <definedName name="KWH1NOCMM">#REF!</definedName>
    <definedName name="KWH3NOCMM">#REF!</definedName>
    <definedName name="KWHCHG">#REF!</definedName>
    <definedName name="LASTDAY">#REF!</definedName>
    <definedName name="LASTFUEL">#REF!</definedName>
    <definedName name="LASTMSRR">#REF!</definedName>
    <definedName name="LASTPFCC">#REF!</definedName>
    <definedName name="LDFCTR">#REF!</definedName>
    <definedName name="LRCREDIT">#REF!</definedName>
    <definedName name="M_A" localSheetId="21">#REF!</definedName>
    <definedName name="M_A" localSheetId="1">#REF!</definedName>
    <definedName name="M_A" localSheetId="13">#REF!</definedName>
    <definedName name="M_A" localSheetId="19">#REF!</definedName>
    <definedName name="M_A" localSheetId="25">'WS I RESERVED'!#REF!</definedName>
    <definedName name="M_A" localSheetId="6">#REF!</definedName>
    <definedName name="M_A">'WS I RESERVED'!#REF!</definedName>
    <definedName name="MACC1">#REF!</definedName>
    <definedName name="MACC2">#REF!</definedName>
    <definedName name="MAINTHRSCRMO">#REF!</definedName>
    <definedName name="MAINTKWH">#REF!</definedName>
    <definedName name="MinBillDem">#REF!</definedName>
    <definedName name="MinBillDem2">#REF!</definedName>
    <definedName name="MinBillDmd">#REF!</definedName>
    <definedName name="MSRRBLD">#REF!</definedName>
    <definedName name="MSRRCHG">#REF!</definedName>
    <definedName name="MTRMLTPLR1">#REF!</definedName>
    <definedName name="MTRMLTPLR2">#REF!</definedName>
    <definedName name="NETMRGCHG">#REF!</definedName>
    <definedName name="NODAYSINPRD">#REF!</definedName>
    <definedName name="NODELPOINTS">#REF!</definedName>
    <definedName name="NP_h" localSheetId="21">#REF!</definedName>
    <definedName name="NP_h" localSheetId="1">#REF!</definedName>
    <definedName name="NP_h" localSheetId="13">#REF!</definedName>
    <definedName name="NP_h" localSheetId="19">#REF!</definedName>
    <definedName name="NP_h" localSheetId="6">#REF!</definedName>
    <definedName name="NP_h">TCOS!$J$87</definedName>
    <definedName name="NP_h1">#REF!</definedName>
    <definedName name="NPh" localSheetId="13">#REF!</definedName>
    <definedName name="NPh">TCOS!$J$87</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#REF!</definedName>
    <definedName name="OFPKBILLKWH">#REF!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PCBLKW">#REF!</definedName>
    <definedName name="OPCO">#REF!</definedName>
    <definedName name="OPXCSKW">#REF!</definedName>
    <definedName name="OPXCSKWDT">#REF!</definedName>
    <definedName name="OPXCSKWH">#REF!</definedName>
    <definedName name="OPXCSKWTM">#REF!</definedName>
    <definedName name="OTHRTRNSKWH">#REF!</definedName>
    <definedName name="P1PENPERC">#REF!</definedName>
    <definedName name="P2PENPERC">#REF!</definedName>
    <definedName name="PeakDemandChg">#REF!</definedName>
    <definedName name="PenaltyDays">#REF!</definedName>
    <definedName name="PenaltyPct">#REF!</definedName>
    <definedName name="PENDAYS">#REF!</definedName>
    <definedName name="PENDAYS2">#REF!</definedName>
    <definedName name="PFCC">#REF!</definedName>
    <definedName name="PKKVAR">#REF!</definedName>
    <definedName name="PKKVARDATE">#REF!</definedName>
    <definedName name="PKKVARTIME">#REF!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_xlnm.Print_Area" localSheetId="0">TCOS!$A$3:$L$389</definedName>
    <definedName name="_xlnm.Print_Area" localSheetId="21">'Worksheet O'!$A$1:$D$37</definedName>
    <definedName name="_xlnm.Print_Area" localSheetId="2">'WS B ADIT &amp; ITC'!$A$3:$I$56</definedName>
    <definedName name="_xlnm.Print_Area" localSheetId="8">'WS D IPP Credits'!$A$3:$E$28</definedName>
    <definedName name="_xlnm.Print_Area" localSheetId="9">'WS E Rev Credits'!$A$3:$K$38</definedName>
    <definedName name="_xlnm.Print_Area" localSheetId="10">'WS F Misc Exp'!$A$3:$G$73</definedName>
    <definedName name="_xlnm.Print_Area" localSheetId="11">'WS G  State Tax Rate'!$A$3:$H$34</definedName>
    <definedName name="_xlnm.Print_Area" localSheetId="12">'WS H-p1 Other Taxes'!$A$1:$M$71</definedName>
    <definedName name="_xlnm.Print_Area" localSheetId="13">'WS H-p2 Detail of Tax Amts'!$A$1:$I$113</definedName>
    <definedName name="_xlnm.Print_Area" localSheetId="14">'WS I RESERVED'!$A$1:$J$13</definedName>
    <definedName name="_xlnm.Print_Area" localSheetId="16">'WS J PROJECTED RTEP RR'!$A$1:$O$2060</definedName>
    <definedName name="_xlnm.Print_Area" localSheetId="15">'WS K TRUE-UP RTEP RR'!$A$3:$P$166</definedName>
    <definedName name="_xlnm.Print_Area" localSheetId="18">'WS L RESERVED'!$A$3:$F$9</definedName>
    <definedName name="_xlnm.Print_Area" localSheetId="20">'WS N - Sale of Plant Held'!$A$3:$U$35</definedName>
    <definedName name="_xlnm.Print_Area" localSheetId="23">'WS Q Cap Structure'!$A$1:$J$237</definedName>
    <definedName name="_xlnm.Print_Area" localSheetId="24">'WS R Interest'!$A$1:$L$61</definedName>
    <definedName name="_xlnm.Print_Area">#REF!</definedName>
    <definedName name="_xlnm.Print_Titles" localSheetId="1">'WS A - Rate Base Support'!$1:$5</definedName>
    <definedName name="_xlnm.Print_Titles" localSheetId="7">'WS C  - Working Capital'!$3:$9</definedName>
    <definedName name="_xlnm.Print_Titles" localSheetId="12">'WS H-p1 Other Taxes'!$3:$7</definedName>
    <definedName name="_xlnm.Print_Titles" localSheetId="13">'WS H-p2 Detail of Tax Amts'!$3:$6</definedName>
    <definedName name="_xlnm.Print_Titles" localSheetId="19">'WS M - Cost of Capital'!$1:$5</definedName>
    <definedName name="_xlnm.Print_Titles" localSheetId="22">'WS P Dep. Rates'!$5:$11</definedName>
    <definedName name="PRVCNT">#REF!</definedName>
    <definedName name="PRVDATE">#REF!</definedName>
    <definedName name="PRVFUEL">#REF!</definedName>
    <definedName name="PRVKW">#REF!</definedName>
    <definedName name="PRVKWH">#REF!</definedName>
    <definedName name="PRVMSRR">#REF!</definedName>
    <definedName name="PRVPFCC">#REF!</definedName>
    <definedName name="PSO_Proj_Allocators" localSheetId="13">#REF!</definedName>
    <definedName name="PSO_Proj_Allocators">#REF!</definedName>
    <definedName name="PSOallocatorsP">#REF!</definedName>
    <definedName name="PVHIOFPCBL">#REF!</definedName>
    <definedName name="PVHIOPCBL">#REF!</definedName>
    <definedName name="RatchetFactor">#REF!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_xlnm.Recorder">#REF!</definedName>
    <definedName name="Reserved_Section">#REF!</definedName>
    <definedName name="RIDERS">#REF!</definedName>
    <definedName name="RKVAHRDNG">#REF!</definedName>
    <definedName name="RTCHTCNTRCTCPCT">#REF!</definedName>
    <definedName name="RTCHTFCTR">#REF!</definedName>
    <definedName name="RTCHTFCTR2">#REF!</definedName>
    <definedName name="RTCHTHIPREVKW">#REF!</definedName>
    <definedName name="RTP_Detail">#REF!</definedName>
    <definedName name="RTPLRKW">#REF!</definedName>
    <definedName name="SDI">#REF!</definedName>
    <definedName name="SHLDRPKKW">#REF!</definedName>
    <definedName name="SHLDRPKKWDT">#REF!</definedName>
    <definedName name="SHLDRPKKWTM">#REF!</definedName>
    <definedName name="SHRDTRNSKWH">#REF!</definedName>
    <definedName name="SRPLSKWH">#REF!</definedName>
    <definedName name="STARTDTM">#REF!</definedName>
    <definedName name="State">#REF!</definedName>
    <definedName name="STDKW">#REF!</definedName>
    <definedName name="STDKWDT">#REF!</definedName>
    <definedName name="STDKWTM">#REF!</definedName>
    <definedName name="STRTTIME">#REF!</definedName>
    <definedName name="SWP_Proj_Allocators">#REF!</definedName>
    <definedName name="SWPallocatorsH">#REF!</definedName>
    <definedName name="SWPallocatorsP">#REF!</definedName>
    <definedName name="SYSPKKW">#REF!</definedName>
    <definedName name="SYSPKKWDT">#REF!</definedName>
    <definedName name="SYSPKKWTM">#REF!</definedName>
    <definedName name="TARIFF1">#REF!</definedName>
    <definedName name="TARIFF2">#REF!</definedName>
    <definedName name="TariffCode">#REF!</definedName>
    <definedName name="TariffLongName">#REF!</definedName>
    <definedName name="TariffShortName">#REF!</definedName>
    <definedName name="TAXDATE">#REF!</definedName>
    <definedName name="TAXES">#REF!</definedName>
    <definedName name="TAXNAME">#REF!</definedName>
    <definedName name="TAXRATE">#REF!</definedName>
    <definedName name="TAXTYPE">#REF!</definedName>
    <definedName name="TCst">#REF!</definedName>
    <definedName name="TCst1">#REF!</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LsFctr">#REF!</definedName>
    <definedName name="TRCRDKWH">#REF!</definedName>
    <definedName name="TRCRDKWH2P">#REF!</definedName>
    <definedName name="TRFDATE1">#REF!</definedName>
    <definedName name="TRFDATE2">#REF!</definedName>
    <definedName name="TRFNAME1">#REF!</definedName>
    <definedName name="TRFNAME2">#REF!</definedName>
    <definedName name="TRFSHORTNM1">#REF!</definedName>
    <definedName name="TRFSHORTNM2">#REF!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TLBSRATETTL">#REF!</definedName>
    <definedName name="TTLCOGENKWH">#REF!</definedName>
    <definedName name="UNBUNDIND">#REF!</definedName>
    <definedName name="Z_3768C7C8_9953_11DA_B318_000FB55D51DC_.wvu.PrintArea" localSheetId="21" hidden="1">'Worksheet O'!#REF!</definedName>
    <definedName name="Z_3768C7C8_9953_11DA_B318_000FB55D51DC_.wvu.PrintArea" localSheetId="7" hidden="1">'WS C  - Working Capital'!$A$10:$N$82</definedName>
    <definedName name="Z_3768C7C8_9953_11DA_B318_000FB55D51DC_.wvu.PrintTitles" localSheetId="21" hidden="1">'Worksheet O'!#REF!</definedName>
    <definedName name="Z_3768C7C8_9953_11DA_B318_000FB55D51DC_.wvu.PrintTitles" localSheetId="7" hidden="1">'WS C  - Working Capital'!#REF!</definedName>
    <definedName name="Z_3768C7C8_9953_11DA_B318_000FB55D51DC_.wvu.Rows" localSheetId="21" hidden="1">'Worksheet O'!#REF!</definedName>
    <definedName name="Z_3768C7C8_9953_11DA_B318_000FB55D51DC_.wvu.Rows" localSheetId="7" hidden="1">'WS C  - Working Capital'!#REF!</definedName>
    <definedName name="Z_3BDD6235_B127_4929_8311_BDAF7BB89818_.wvu.PrintArea" localSheetId="21" hidden="1">'Worksheet O'!#REF!</definedName>
    <definedName name="Z_3BDD6235_B127_4929_8311_BDAF7BB89818_.wvu.PrintArea" localSheetId="7" hidden="1">'WS C  - Working Capital'!$A$10:$N$82</definedName>
    <definedName name="Z_3BDD6235_B127_4929_8311_BDAF7BB89818_.wvu.PrintTitles" localSheetId="21" hidden="1">'Worksheet O'!#REF!</definedName>
    <definedName name="Z_3BDD6235_B127_4929_8311_BDAF7BB89818_.wvu.PrintTitles" localSheetId="7" hidden="1">'WS C  - Working Capital'!#REF!</definedName>
    <definedName name="Z_3BDD6235_B127_4929_8311_BDAF7BB89818_.wvu.Rows" localSheetId="21" hidden="1">'Worksheet O'!#REF!</definedName>
    <definedName name="Z_3BDD6235_B127_4929_8311_BDAF7BB89818_.wvu.Rows" localSheetId="7" hidden="1">'WS C  - Working Capital'!#REF!</definedName>
    <definedName name="Z_B0241363_5C8A_48FC_89A6_56D55586BABE_.wvu.PrintArea" localSheetId="21" hidden="1">'Worksheet O'!#REF!</definedName>
    <definedName name="Z_B0241363_5C8A_48FC_89A6_56D55586BABE_.wvu.PrintArea" localSheetId="7" hidden="1">'WS C  - Working Capital'!$A$10:$N$82</definedName>
    <definedName name="Z_B0241363_5C8A_48FC_89A6_56D55586BABE_.wvu.PrintTitles" localSheetId="21" hidden="1">'Worksheet O'!#REF!</definedName>
    <definedName name="Z_B0241363_5C8A_48FC_89A6_56D55586BABE_.wvu.PrintTitles" localSheetId="7" hidden="1">'WS C  - Working Capital'!#REF!</definedName>
    <definedName name="Z_B0241363_5C8A_48FC_89A6_56D55586BABE_.wvu.Rows" localSheetId="21" hidden="1">'Worksheet O'!#REF!</definedName>
    <definedName name="Z_B0241363_5C8A_48FC_89A6_56D55586BABE_.wvu.Rows" localSheetId="7" hidden="1">'WS C  - Working Capital'!#REF!</definedName>
    <definedName name="Z_C0EA0F9F_7310_4201_82C9_7B8FC8DB9137_.wvu.PrintArea" localSheetId="21" hidden="1">'Worksheet O'!#REF!</definedName>
    <definedName name="Z_C0EA0F9F_7310_4201_82C9_7B8FC8DB9137_.wvu.PrintArea" localSheetId="7" hidden="1">'WS C  - Working Capital'!$A$10:$N$82</definedName>
    <definedName name="Z_C0EA0F9F_7310_4201_82C9_7B8FC8DB9137_.wvu.PrintTitles" localSheetId="21" hidden="1">'Worksheet O'!#REF!</definedName>
    <definedName name="Z_C0EA0F9F_7310_4201_82C9_7B8FC8DB9137_.wvu.PrintTitles" localSheetId="7" hidden="1">'WS C  - Working Capital'!#REF!</definedName>
    <definedName name="Z_C0EA0F9F_7310_4201_82C9_7B8FC8DB9137_.wvu.Rows" localSheetId="21" hidden="1">'Worksheet O'!#REF!</definedName>
    <definedName name="Z_C0EA0F9F_7310_4201_82C9_7B8FC8DB9137_.wvu.Rows" localSheetId="7" hidden="1">'WS C  - Working Capital'!#REF!</definedName>
    <definedName name="Z_C5140E12_E05E_4473_9142_42F37320A417_.wvu.Cols" localSheetId="13" hidden="1">'WS H-p2 Detail of Tax Amts'!$F:$F</definedName>
    <definedName name="Z_C5140E12_E05E_4473_9142_42F37320A417_.wvu.PrintArea" localSheetId="13" hidden="1">'WS H-p2 Detail of Tax Amts'!$A$3:$F$103</definedName>
    <definedName name="Z_C5140E12_E05E_4473_9142_42F37320A417_.wvu.PrintArea" localSheetId="16" hidden="1">'WS J PROJECTED RTEP RR'!$A$3:$O$83</definedName>
    <definedName name="Z_C5140E12_E05E_4473_9142_42F37320A417_.wvu.PrintTitles" localSheetId="13" hidden="1">'WS H-p2 Detail of Tax Amts'!$3:$6</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5" l="1"/>
  <c r="G165" i="2" l="1"/>
  <c r="F23" i="44" l="1"/>
  <c r="D21" i="44"/>
  <c r="H21" i="44" s="1"/>
  <c r="L17" i="44"/>
  <c r="O17" i="44" s="1"/>
  <c r="H17" i="44"/>
  <c r="J15" i="44"/>
  <c r="J21" i="44" s="1"/>
  <c r="L21" i="44" s="1"/>
  <c r="D15" i="44"/>
  <c r="A14" i="44"/>
  <c r="A15" i="44" s="1"/>
  <c r="A17" i="44" s="1"/>
  <c r="A19" i="44" s="1"/>
  <c r="A20" i="44" s="1"/>
  <c r="A21" i="44" s="1"/>
  <c r="A23" i="44" s="1"/>
  <c r="O21" i="44" l="1"/>
  <c r="D23" i="44"/>
  <c r="L15" i="44"/>
  <c r="L23" i="44" s="1"/>
  <c r="H15" i="44"/>
  <c r="J23" i="44"/>
  <c r="G42" i="39"/>
  <c r="D42" i="39"/>
  <c r="C42" i="39"/>
  <c r="F23" i="39"/>
  <c r="E23" i="39"/>
  <c r="D23" i="39"/>
  <c r="F42" i="38"/>
  <c r="D42" i="38"/>
  <c r="F23" i="38"/>
  <c r="D23" i="38"/>
  <c r="O15" i="44" l="1"/>
  <c r="O23" i="44" s="1"/>
  <c r="F42" i="39"/>
  <c r="E42" i="39"/>
  <c r="C23" i="39"/>
  <c r="C42" i="38" l="1"/>
  <c r="G42" i="38"/>
  <c r="E42" i="38"/>
  <c r="E23" i="38"/>
  <c r="G23" i="38"/>
  <c r="C23" i="38"/>
  <c r="B8" i="41" l="1"/>
  <c r="B17" i="42"/>
  <c r="B17" i="41" s="1"/>
  <c r="E8" i="42"/>
  <c r="B8" i="42"/>
  <c r="C39" i="41"/>
  <c r="C40" i="41" s="1"/>
  <c r="C41" i="41" s="1"/>
  <c r="C42" i="41" s="1"/>
  <c r="C43" i="41" s="1"/>
  <c r="C44" i="41" s="1"/>
  <c r="C45" i="41" s="1"/>
  <c r="C46" i="41" s="1"/>
  <c r="C47" i="41" s="1"/>
  <c r="C48" i="41" s="1"/>
  <c r="C49" i="41" s="1"/>
  <c r="C50" i="41" s="1"/>
  <c r="C36" i="41"/>
  <c r="C21" i="41"/>
  <c r="C32" i="41" s="1"/>
  <c r="C39" i="42"/>
  <c r="C40" i="42" s="1"/>
  <c r="C41" i="42" s="1"/>
  <c r="C42" i="42" s="1"/>
  <c r="C43" i="42" s="1"/>
  <c r="C44" i="42" s="1"/>
  <c r="C45" i="42" s="1"/>
  <c r="C46" i="42" s="1"/>
  <c r="C47" i="42" s="1"/>
  <c r="C48" i="42" s="1"/>
  <c r="C49" i="42" s="1"/>
  <c r="C50" i="42" s="1"/>
  <c r="C36" i="42"/>
  <c r="C21" i="42"/>
  <c r="C29" i="42" s="1"/>
  <c r="C39" i="35"/>
  <c r="C36" i="35"/>
  <c r="C21" i="35"/>
  <c r="C25" i="41" l="1"/>
  <c r="C29" i="41"/>
  <c r="C22" i="41"/>
  <c r="C26" i="41"/>
  <c r="C30" i="41"/>
  <c r="C23" i="41"/>
  <c r="C27" i="41"/>
  <c r="C31" i="41"/>
  <c r="C24" i="41"/>
  <c r="C28" i="41"/>
  <c r="C22" i="42"/>
  <c r="C26" i="42"/>
  <c r="C30" i="42"/>
  <c r="C23" i="42"/>
  <c r="C27" i="42"/>
  <c r="C31" i="42"/>
  <c r="C24" i="42"/>
  <c r="C28" i="42"/>
  <c r="C32" i="42"/>
  <c r="C25" i="42"/>
  <c r="B44" i="43" l="1"/>
  <c r="O27" i="43"/>
  <c r="N27" i="43"/>
  <c r="L27" i="43"/>
  <c r="K27" i="43"/>
  <c r="J27" i="43"/>
  <c r="I27" i="43"/>
  <c r="B27" i="43"/>
  <c r="M27" i="43"/>
  <c r="P23" i="43"/>
  <c r="P19" i="43"/>
  <c r="Q18" i="43"/>
  <c r="P17" i="43"/>
  <c r="P16" i="43"/>
  <c r="Q15" i="43"/>
  <c r="Q14" i="43"/>
  <c r="P13" i="43"/>
  <c r="Q27" i="43" l="1"/>
  <c r="P24" i="43"/>
  <c r="P27" i="43" s="1"/>
  <c r="C31" i="35"/>
  <c r="C30" i="35"/>
  <c r="E46" i="32"/>
  <c r="D45" i="32"/>
  <c r="C45" i="32"/>
  <c r="E44" i="32"/>
  <c r="A44" i="32"/>
  <c r="A45" i="32" s="1"/>
  <c r="A46" i="32" s="1"/>
  <c r="A47" i="32" s="1"/>
  <c r="E43" i="32"/>
  <c r="E45" i="32" l="1"/>
  <c r="E47" i="32" s="1"/>
  <c r="C23" i="35"/>
  <c r="C27" i="35"/>
  <c r="C24" i="35"/>
  <c r="C28" i="35"/>
  <c r="C32" i="35"/>
  <c r="C25" i="35"/>
  <c r="C29" i="35"/>
  <c r="C22" i="35"/>
  <c r="C26" i="35"/>
  <c r="I18" i="5" l="1"/>
  <c r="G136" i="2"/>
  <c r="D23" i="40"/>
  <c r="D18" i="40"/>
  <c r="D20" i="40" s="1"/>
  <c r="G233" i="2"/>
  <c r="L229" i="2"/>
  <c r="H38" i="39"/>
  <c r="H35" i="39"/>
  <c r="H29" i="39"/>
  <c r="G22" i="39"/>
  <c r="G21" i="39"/>
  <c r="G20" i="39"/>
  <c r="G19" i="39"/>
  <c r="G18" i="39"/>
  <c r="G17" i="39"/>
  <c r="G16" i="39"/>
  <c r="G15" i="39"/>
  <c r="G14" i="39"/>
  <c r="G13" i="39"/>
  <c r="G11" i="39"/>
  <c r="G10" i="39"/>
  <c r="I52" i="5"/>
  <c r="L95" i="2" s="1"/>
  <c r="C40" i="35"/>
  <c r="C41" i="35" s="1"/>
  <c r="C42" i="35" s="1"/>
  <c r="C43" i="35" s="1"/>
  <c r="C44" i="35" s="1"/>
  <c r="C45" i="35" s="1"/>
  <c r="C46" i="35" s="1"/>
  <c r="C47" i="35" s="1"/>
  <c r="C48" i="35" s="1"/>
  <c r="C49" i="35" s="1"/>
  <c r="C50" i="35" s="1"/>
  <c r="H22" i="42"/>
  <c r="H23" i="42" s="1"/>
  <c r="H24" i="42" s="1"/>
  <c r="H25" i="42" s="1"/>
  <c r="H26" i="42" s="1"/>
  <c r="H27" i="42" s="1"/>
  <c r="H28" i="42" s="1"/>
  <c r="H29" i="42" s="1"/>
  <c r="H30" i="42" s="1"/>
  <c r="H31" i="42" s="1"/>
  <c r="H32" i="42" s="1"/>
  <c r="G10" i="42"/>
  <c r="C10" i="42"/>
  <c r="E74" i="39"/>
  <c r="E76" i="39" s="1"/>
  <c r="F71" i="38"/>
  <c r="L98" i="2" s="1"/>
  <c r="F69" i="38"/>
  <c r="G98" i="2" s="1"/>
  <c r="G76" i="2"/>
  <c r="G74" i="2"/>
  <c r="G66" i="2"/>
  <c r="D1990" i="20"/>
  <c r="C1990" i="20"/>
  <c r="C1991" i="20" s="1"/>
  <c r="C1992" i="20" s="1"/>
  <c r="C1993" i="20" s="1"/>
  <c r="C1994" i="20" s="1"/>
  <c r="C1995" i="20" s="1"/>
  <c r="C1996" i="20" s="1"/>
  <c r="C1997" i="20" s="1"/>
  <c r="C1998" i="20" s="1"/>
  <c r="C1999" i="20" s="1"/>
  <c r="C2000" i="20" s="1"/>
  <c r="C2001" i="20" s="1"/>
  <c r="C2002" i="20" s="1"/>
  <c r="C2003" i="20" s="1"/>
  <c r="C2004" i="20" s="1"/>
  <c r="C2005" i="20" s="1"/>
  <c r="C2006" i="20" s="1"/>
  <c r="C2007" i="20" s="1"/>
  <c r="C2008" i="20" s="1"/>
  <c r="C2009" i="20" s="1"/>
  <c r="C2010" i="20" s="1"/>
  <c r="C2011" i="20" s="1"/>
  <c r="C2012" i="20" s="1"/>
  <c r="C2013" i="20" s="1"/>
  <c r="C2014" i="20" s="1"/>
  <c r="C2015" i="20" s="1"/>
  <c r="C2016" i="20" s="1"/>
  <c r="C2017" i="20" s="1"/>
  <c r="C2018" i="20" s="1"/>
  <c r="C2019" i="20" s="1"/>
  <c r="C2020" i="20" s="1"/>
  <c r="C2021" i="20" s="1"/>
  <c r="C2022" i="20" s="1"/>
  <c r="C2023" i="20" s="1"/>
  <c r="C2024" i="20" s="1"/>
  <c r="C2025" i="20" s="1"/>
  <c r="C2026" i="20" s="1"/>
  <c r="C2027" i="20" s="1"/>
  <c r="C2028" i="20" s="1"/>
  <c r="C2029" i="20" s="1"/>
  <c r="C2030" i="20" s="1"/>
  <c r="C2031" i="20" s="1"/>
  <c r="C2032" i="20" s="1"/>
  <c r="C2033" i="20" s="1"/>
  <c r="C2034" i="20" s="1"/>
  <c r="C2035" i="20" s="1"/>
  <c r="C2036" i="20" s="1"/>
  <c r="C2037" i="20" s="1"/>
  <c r="C2038" i="20" s="1"/>
  <c r="C2039" i="20" s="1"/>
  <c r="C2040" i="20" s="1"/>
  <c r="C2041" i="20" s="1"/>
  <c r="C2042" i="20" s="1"/>
  <c r="C2043" i="20" s="1"/>
  <c r="C2044" i="20" s="1"/>
  <c r="C2045" i="20" s="1"/>
  <c r="C2046" i="20" s="1"/>
  <c r="C2047" i="20" s="1"/>
  <c r="C2048" i="20" s="1"/>
  <c r="C2049" i="20" s="1"/>
  <c r="K1985" i="20"/>
  <c r="I1984" i="20"/>
  <c r="O1971" i="20"/>
  <c r="N1971" i="20"/>
  <c r="A1971" i="20"/>
  <c r="M466" i="20"/>
  <c r="H22" i="41"/>
  <c r="H23" i="41" s="1"/>
  <c r="H24" i="41" s="1"/>
  <c r="H25" i="41" s="1"/>
  <c r="H26" i="41" s="1"/>
  <c r="H27" i="41" s="1"/>
  <c r="H28" i="41" s="1"/>
  <c r="H29" i="41" s="1"/>
  <c r="H30" i="41" s="1"/>
  <c r="H31" i="41" s="1"/>
  <c r="H32" i="41" s="1"/>
  <c r="G10" i="41"/>
  <c r="C10" i="41"/>
  <c r="H22" i="35"/>
  <c r="H23" i="35" s="1"/>
  <c r="H24" i="35" s="1"/>
  <c r="H25" i="35" s="1"/>
  <c r="H26" i="35" s="1"/>
  <c r="H27" i="35" s="1"/>
  <c r="H28" i="35" s="1"/>
  <c r="H29" i="35" s="1"/>
  <c r="H30" i="35" s="1"/>
  <c r="H31" i="35" s="1"/>
  <c r="H32" i="35" s="1"/>
  <c r="G10" i="35"/>
  <c r="C10" i="35"/>
  <c r="D1901" i="20"/>
  <c r="C1901" i="20"/>
  <c r="C1902" i="20" s="1"/>
  <c r="C1903" i="20" s="1"/>
  <c r="C1904" i="20" s="1"/>
  <c r="C1905" i="20" s="1"/>
  <c r="C1906" i="20" s="1"/>
  <c r="C1907" i="20" s="1"/>
  <c r="C1908" i="20" s="1"/>
  <c r="C1909" i="20" s="1"/>
  <c r="C1910" i="20" s="1"/>
  <c r="C1911" i="20" s="1"/>
  <c r="C1912" i="20" s="1"/>
  <c r="C1913" i="20" s="1"/>
  <c r="C1914" i="20" s="1"/>
  <c r="C1915" i="20" s="1"/>
  <c r="C1916" i="20" s="1"/>
  <c r="C1917" i="20" s="1"/>
  <c r="C1918" i="20" s="1"/>
  <c r="C1919" i="20" s="1"/>
  <c r="C1920" i="20" s="1"/>
  <c r="C1921" i="20" s="1"/>
  <c r="C1922" i="20" s="1"/>
  <c r="C1923" i="20" s="1"/>
  <c r="C1924" i="20" s="1"/>
  <c r="C1925" i="20" s="1"/>
  <c r="C1926" i="20" s="1"/>
  <c r="C1927" i="20" s="1"/>
  <c r="C1928" i="20" s="1"/>
  <c r="C1929" i="20" s="1"/>
  <c r="C1930" i="20" s="1"/>
  <c r="C1931" i="20" s="1"/>
  <c r="C1932" i="20" s="1"/>
  <c r="C1933" i="20" s="1"/>
  <c r="C1934" i="20" s="1"/>
  <c r="C1935" i="20" s="1"/>
  <c r="C1936" i="20" s="1"/>
  <c r="C1937" i="20" s="1"/>
  <c r="C1938" i="20" s="1"/>
  <c r="C1939" i="20" s="1"/>
  <c r="C1940" i="20" s="1"/>
  <c r="C1941" i="20" s="1"/>
  <c r="C1942" i="20" s="1"/>
  <c r="C1943" i="20" s="1"/>
  <c r="C1944" i="20" s="1"/>
  <c r="C1945" i="20" s="1"/>
  <c r="C1946" i="20" s="1"/>
  <c r="C1947" i="20" s="1"/>
  <c r="C1948" i="20" s="1"/>
  <c r="C1949" i="20" s="1"/>
  <c r="C1950" i="20" s="1"/>
  <c r="C1951" i="20" s="1"/>
  <c r="C1952" i="20" s="1"/>
  <c r="C1953" i="20" s="1"/>
  <c r="C1954" i="20" s="1"/>
  <c r="C1955" i="20" s="1"/>
  <c r="C1956" i="20" s="1"/>
  <c r="C1957" i="20" s="1"/>
  <c r="C1958" i="20" s="1"/>
  <c r="C1959" i="20" s="1"/>
  <c r="C1960" i="20" s="1"/>
  <c r="K1896" i="20"/>
  <c r="I1895" i="20"/>
  <c r="O1882" i="20"/>
  <c r="N1882" i="20"/>
  <c r="A1882" i="20"/>
  <c r="D1811" i="20"/>
  <c r="C1811" i="20"/>
  <c r="C1812" i="20" s="1"/>
  <c r="C1813" i="20" s="1"/>
  <c r="C1814" i="20" s="1"/>
  <c r="C1815" i="20" s="1"/>
  <c r="C1816" i="20" s="1"/>
  <c r="C1817" i="20" s="1"/>
  <c r="C1818" i="20" s="1"/>
  <c r="C1819" i="20" s="1"/>
  <c r="C1820" i="20" s="1"/>
  <c r="C1821" i="20" s="1"/>
  <c r="C1822" i="20" s="1"/>
  <c r="C1823" i="20" s="1"/>
  <c r="C1824" i="20" s="1"/>
  <c r="C1825" i="20" s="1"/>
  <c r="C1826" i="20" s="1"/>
  <c r="C1827" i="20" s="1"/>
  <c r="C1828" i="20" s="1"/>
  <c r="C1829" i="20" s="1"/>
  <c r="C1830" i="20" s="1"/>
  <c r="C1831" i="20" s="1"/>
  <c r="C1832" i="20" s="1"/>
  <c r="C1833" i="20" s="1"/>
  <c r="C1834" i="20" s="1"/>
  <c r="C1835" i="20" s="1"/>
  <c r="C1836" i="20" s="1"/>
  <c r="C1837" i="20" s="1"/>
  <c r="C1838" i="20" s="1"/>
  <c r="C1839" i="20" s="1"/>
  <c r="C1840" i="20" s="1"/>
  <c r="C1841" i="20" s="1"/>
  <c r="C1842" i="20" s="1"/>
  <c r="C1843" i="20" s="1"/>
  <c r="C1844" i="20" s="1"/>
  <c r="C1845" i="20" s="1"/>
  <c r="C1846" i="20" s="1"/>
  <c r="C1847" i="20" s="1"/>
  <c r="C1848" i="20" s="1"/>
  <c r="C1849" i="20" s="1"/>
  <c r="C1850" i="20" s="1"/>
  <c r="C1851" i="20" s="1"/>
  <c r="C1852" i="20" s="1"/>
  <c r="C1853" i="20" s="1"/>
  <c r="C1854" i="20" s="1"/>
  <c r="C1855" i="20" s="1"/>
  <c r="C1856" i="20" s="1"/>
  <c r="C1857" i="20" s="1"/>
  <c r="C1858" i="20" s="1"/>
  <c r="C1859" i="20" s="1"/>
  <c r="C1860" i="20" s="1"/>
  <c r="C1861" i="20" s="1"/>
  <c r="C1862" i="20" s="1"/>
  <c r="C1863" i="20" s="1"/>
  <c r="C1864" i="20" s="1"/>
  <c r="C1865" i="20" s="1"/>
  <c r="C1866" i="20" s="1"/>
  <c r="C1867" i="20" s="1"/>
  <c r="C1868" i="20" s="1"/>
  <c r="C1869" i="20" s="1"/>
  <c r="C1870" i="20" s="1"/>
  <c r="K1806" i="20"/>
  <c r="I1805" i="20"/>
  <c r="O1792" i="20"/>
  <c r="N1792" i="20"/>
  <c r="A1792" i="20"/>
  <c r="D1721" i="20"/>
  <c r="C1721" i="20"/>
  <c r="C1722" i="20" s="1"/>
  <c r="C1723" i="20" s="1"/>
  <c r="C1724" i="20" s="1"/>
  <c r="C1725" i="20" s="1"/>
  <c r="C1726" i="20" s="1"/>
  <c r="C1727" i="20" s="1"/>
  <c r="C1728" i="20" s="1"/>
  <c r="C1729" i="20" s="1"/>
  <c r="C1730" i="20" s="1"/>
  <c r="C1731" i="20" s="1"/>
  <c r="C1732" i="20" s="1"/>
  <c r="C1733" i="20" s="1"/>
  <c r="C1734" i="20" s="1"/>
  <c r="C1735" i="20" s="1"/>
  <c r="C1736" i="20" s="1"/>
  <c r="C1737" i="20" s="1"/>
  <c r="C1738" i="20" s="1"/>
  <c r="C1739" i="20" s="1"/>
  <c r="C1740" i="20" s="1"/>
  <c r="C1741" i="20" s="1"/>
  <c r="C1742" i="20" s="1"/>
  <c r="C1743" i="20" s="1"/>
  <c r="C1744" i="20" s="1"/>
  <c r="C1745" i="20" s="1"/>
  <c r="C1746" i="20" s="1"/>
  <c r="C1747" i="20" s="1"/>
  <c r="C1748" i="20" s="1"/>
  <c r="C1749" i="20" s="1"/>
  <c r="C1750" i="20" s="1"/>
  <c r="C1751" i="20" s="1"/>
  <c r="C1752" i="20" s="1"/>
  <c r="C1753" i="20" s="1"/>
  <c r="C1754" i="20" s="1"/>
  <c r="C1755" i="20" s="1"/>
  <c r="C1756" i="20" s="1"/>
  <c r="C1757" i="20" s="1"/>
  <c r="C1758" i="20" s="1"/>
  <c r="C1759" i="20" s="1"/>
  <c r="C1760" i="20" s="1"/>
  <c r="C1761" i="20" s="1"/>
  <c r="C1762" i="20" s="1"/>
  <c r="C1763" i="20" s="1"/>
  <c r="C1764" i="20" s="1"/>
  <c r="C1765" i="20" s="1"/>
  <c r="C1766" i="20" s="1"/>
  <c r="C1767" i="20" s="1"/>
  <c r="C1768" i="20" s="1"/>
  <c r="C1769" i="20" s="1"/>
  <c r="C1770" i="20" s="1"/>
  <c r="C1771" i="20" s="1"/>
  <c r="C1772" i="20" s="1"/>
  <c r="C1773" i="20" s="1"/>
  <c r="C1774" i="20" s="1"/>
  <c r="C1775" i="20" s="1"/>
  <c r="C1776" i="20" s="1"/>
  <c r="C1777" i="20" s="1"/>
  <c r="C1778" i="20" s="1"/>
  <c r="C1779" i="20" s="1"/>
  <c r="C1780" i="20" s="1"/>
  <c r="K1716" i="20"/>
  <c r="I1715" i="20"/>
  <c r="O1702" i="20"/>
  <c r="N1702" i="20"/>
  <c r="A1702" i="20"/>
  <c r="D1631" i="20"/>
  <c r="C1631" i="20"/>
  <c r="C1632" i="20" s="1"/>
  <c r="C1633" i="20" s="1"/>
  <c r="C1634" i="20" s="1"/>
  <c r="C1635" i="20" s="1"/>
  <c r="C1636" i="20" s="1"/>
  <c r="C1637" i="20" s="1"/>
  <c r="C1638" i="20" s="1"/>
  <c r="C1639" i="20" s="1"/>
  <c r="C1640" i="20" s="1"/>
  <c r="C1641" i="20" s="1"/>
  <c r="C1642" i="20" s="1"/>
  <c r="C1643" i="20" s="1"/>
  <c r="C1644" i="20" s="1"/>
  <c r="C1645" i="20" s="1"/>
  <c r="C1646" i="20" s="1"/>
  <c r="C1647" i="20" s="1"/>
  <c r="C1648" i="20" s="1"/>
  <c r="C1649" i="20" s="1"/>
  <c r="C1650" i="20" s="1"/>
  <c r="C1651" i="20" s="1"/>
  <c r="C1652" i="20" s="1"/>
  <c r="C1653" i="20" s="1"/>
  <c r="C1654" i="20" s="1"/>
  <c r="C1655" i="20" s="1"/>
  <c r="C1656" i="20" s="1"/>
  <c r="C1657" i="20" s="1"/>
  <c r="C1658" i="20" s="1"/>
  <c r="C1659" i="20" s="1"/>
  <c r="C1660" i="20" s="1"/>
  <c r="K1626" i="20"/>
  <c r="I1625" i="20"/>
  <c r="O1612" i="20"/>
  <c r="N1612" i="20"/>
  <c r="A1612" i="20"/>
  <c r="C1600" i="20"/>
  <c r="C1599" i="20"/>
  <c r="C1598" i="20"/>
  <c r="C1597" i="20"/>
  <c r="C1596" i="20"/>
  <c r="C1595" i="20"/>
  <c r="C1594" i="20"/>
  <c r="C1593" i="20"/>
  <c r="C1592" i="20"/>
  <c r="C1591" i="20"/>
  <c r="C1590" i="20"/>
  <c r="C1589" i="20"/>
  <c r="C1588" i="20"/>
  <c r="C1587" i="20"/>
  <c r="C1586" i="20"/>
  <c r="C1585" i="20"/>
  <c r="C1584" i="20"/>
  <c r="C1583" i="20"/>
  <c r="C1582" i="20"/>
  <c r="C1581" i="20"/>
  <c r="C1580" i="20"/>
  <c r="C1579" i="20"/>
  <c r="C1578" i="20"/>
  <c r="C1577" i="20"/>
  <c r="C1576" i="20"/>
  <c r="C1575" i="20"/>
  <c r="C1574" i="20"/>
  <c r="C1573" i="20"/>
  <c r="C1572" i="20"/>
  <c r="C1571" i="20"/>
  <c r="C1570" i="20"/>
  <c r="C1569" i="20"/>
  <c r="C1568" i="20"/>
  <c r="C1567" i="20"/>
  <c r="C1566" i="20"/>
  <c r="C1565" i="20"/>
  <c r="C1564" i="20"/>
  <c r="C1563" i="20"/>
  <c r="C1562" i="20"/>
  <c r="C1561" i="20"/>
  <c r="C1560" i="20"/>
  <c r="C1559" i="20"/>
  <c r="C1558" i="20"/>
  <c r="C1557" i="20"/>
  <c r="C1556" i="20"/>
  <c r="C1555" i="20"/>
  <c r="C1554" i="20"/>
  <c r="C1553" i="20"/>
  <c r="C1552" i="20"/>
  <c r="C1551" i="20"/>
  <c r="C1550" i="20"/>
  <c r="C1549" i="20"/>
  <c r="C1548" i="20"/>
  <c r="C1547" i="20"/>
  <c r="C1546" i="20"/>
  <c r="C1545" i="20"/>
  <c r="C1544" i="20"/>
  <c r="C1543" i="20"/>
  <c r="C1542" i="20"/>
  <c r="D1541" i="20"/>
  <c r="C1541" i="20"/>
  <c r="I1538" i="20"/>
  <c r="E1541" i="20" s="1"/>
  <c r="K1536" i="20"/>
  <c r="I1535" i="20"/>
  <c r="O1522" i="20"/>
  <c r="N1522" i="20"/>
  <c r="A1522" i="20"/>
  <c r="D1451" i="20"/>
  <c r="C1451" i="20"/>
  <c r="C1452" i="20" s="1"/>
  <c r="C1453" i="20" s="1"/>
  <c r="C1454" i="20" s="1"/>
  <c r="C1455" i="20" s="1"/>
  <c r="C1456" i="20" s="1"/>
  <c r="C1457" i="20" s="1"/>
  <c r="C1458" i="20" s="1"/>
  <c r="C1459" i="20" s="1"/>
  <c r="C1460" i="20" s="1"/>
  <c r="C1461" i="20" s="1"/>
  <c r="C1462" i="20" s="1"/>
  <c r="C1463" i="20" s="1"/>
  <c r="C1464" i="20" s="1"/>
  <c r="C1465" i="20" s="1"/>
  <c r="C1466" i="20" s="1"/>
  <c r="C1467" i="20" s="1"/>
  <c r="C1468" i="20" s="1"/>
  <c r="C1469" i="20" s="1"/>
  <c r="C1470" i="20" s="1"/>
  <c r="C1471" i="20" s="1"/>
  <c r="C1472" i="20" s="1"/>
  <c r="C1473" i="20" s="1"/>
  <c r="C1474" i="20" s="1"/>
  <c r="C1475" i="20" s="1"/>
  <c r="C1476" i="20" s="1"/>
  <c r="C1477" i="20" s="1"/>
  <c r="C1478" i="20" s="1"/>
  <c r="C1479" i="20" s="1"/>
  <c r="C1480" i="20" s="1"/>
  <c r="C1481" i="20" s="1"/>
  <c r="C1482" i="20" s="1"/>
  <c r="C1483" i="20" s="1"/>
  <c r="C1484" i="20" s="1"/>
  <c r="C1485" i="20" s="1"/>
  <c r="C1486" i="20" s="1"/>
  <c r="C1487" i="20" s="1"/>
  <c r="C1488" i="20" s="1"/>
  <c r="C1489" i="20" s="1"/>
  <c r="C1490" i="20" s="1"/>
  <c r="C1491" i="20" s="1"/>
  <c r="C1492" i="20" s="1"/>
  <c r="C1493" i="20" s="1"/>
  <c r="C1494" i="20" s="1"/>
  <c r="C1495" i="20" s="1"/>
  <c r="C1496" i="20" s="1"/>
  <c r="C1497" i="20" s="1"/>
  <c r="C1498" i="20" s="1"/>
  <c r="C1499" i="20" s="1"/>
  <c r="C1500" i="20" s="1"/>
  <c r="C1501" i="20" s="1"/>
  <c r="C1502" i="20" s="1"/>
  <c r="C1503" i="20" s="1"/>
  <c r="C1504" i="20" s="1"/>
  <c r="C1505" i="20" s="1"/>
  <c r="C1506" i="20" s="1"/>
  <c r="C1507" i="20" s="1"/>
  <c r="C1508" i="20" s="1"/>
  <c r="C1509" i="20" s="1"/>
  <c r="C1510" i="20" s="1"/>
  <c r="K1446" i="20"/>
  <c r="I1445" i="20"/>
  <c r="O1432" i="20"/>
  <c r="N1432" i="20"/>
  <c r="A1432" i="20"/>
  <c r="D1361" i="20"/>
  <c r="C1361" i="20"/>
  <c r="C1362" i="20" s="1"/>
  <c r="C1363" i="20" s="1"/>
  <c r="C1364" i="20" s="1"/>
  <c r="C1365" i="20" s="1"/>
  <c r="C1366" i="20" s="1"/>
  <c r="C1367" i="20" s="1"/>
  <c r="C1368" i="20" s="1"/>
  <c r="C1369" i="20" s="1"/>
  <c r="C1370" i="20" s="1"/>
  <c r="C1371" i="20" s="1"/>
  <c r="C1372" i="20" s="1"/>
  <c r="C1373" i="20" s="1"/>
  <c r="C1374" i="20" s="1"/>
  <c r="C1375" i="20" s="1"/>
  <c r="C1376" i="20" s="1"/>
  <c r="C1377" i="20" s="1"/>
  <c r="C1378" i="20" s="1"/>
  <c r="C1379" i="20" s="1"/>
  <c r="C1380" i="20" s="1"/>
  <c r="C1381" i="20" s="1"/>
  <c r="C1382" i="20" s="1"/>
  <c r="C1383" i="20" s="1"/>
  <c r="C1384" i="20" s="1"/>
  <c r="C1385" i="20" s="1"/>
  <c r="C1386" i="20" s="1"/>
  <c r="C1387" i="20" s="1"/>
  <c r="C1388" i="20" s="1"/>
  <c r="C1389" i="20" s="1"/>
  <c r="C1390" i="20" s="1"/>
  <c r="C1391" i="20" s="1"/>
  <c r="C1392" i="20" s="1"/>
  <c r="C1393" i="20" s="1"/>
  <c r="C1394" i="20" s="1"/>
  <c r="C1395" i="20" s="1"/>
  <c r="C1396" i="20" s="1"/>
  <c r="C1397" i="20" s="1"/>
  <c r="C1398" i="20" s="1"/>
  <c r="C1399" i="20" s="1"/>
  <c r="C1400" i="20" s="1"/>
  <c r="C1401" i="20" s="1"/>
  <c r="C1402" i="20" s="1"/>
  <c r="C1403" i="20" s="1"/>
  <c r="C1404" i="20" s="1"/>
  <c r="C1405" i="20" s="1"/>
  <c r="C1406" i="20" s="1"/>
  <c r="C1407" i="20" s="1"/>
  <c r="C1408" i="20" s="1"/>
  <c r="C1409" i="20" s="1"/>
  <c r="C1410" i="20" s="1"/>
  <c r="C1411" i="20" s="1"/>
  <c r="C1412" i="20" s="1"/>
  <c r="C1413" i="20" s="1"/>
  <c r="C1414" i="20" s="1"/>
  <c r="C1415" i="20" s="1"/>
  <c r="C1416" i="20" s="1"/>
  <c r="C1417" i="20" s="1"/>
  <c r="C1418" i="20" s="1"/>
  <c r="C1419" i="20" s="1"/>
  <c r="C1420" i="20" s="1"/>
  <c r="K1356" i="20"/>
  <c r="I1355" i="20"/>
  <c r="O1342" i="20"/>
  <c r="N1342" i="20"/>
  <c r="A1342" i="20"/>
  <c r="O1072" i="20"/>
  <c r="D1271" i="20"/>
  <c r="C1271" i="20"/>
  <c r="C1272" i="20" s="1"/>
  <c r="C1273" i="20" s="1"/>
  <c r="C1274" i="20" s="1"/>
  <c r="C1275" i="20" s="1"/>
  <c r="C1276" i="20" s="1"/>
  <c r="C1277" i="20" s="1"/>
  <c r="C1278" i="20" s="1"/>
  <c r="C1279" i="20" s="1"/>
  <c r="C1280" i="20" s="1"/>
  <c r="C1281" i="20" s="1"/>
  <c r="C1282" i="20" s="1"/>
  <c r="C1283" i="20" s="1"/>
  <c r="C1284" i="20" s="1"/>
  <c r="C1285" i="20" s="1"/>
  <c r="C1286" i="20" s="1"/>
  <c r="C1287" i="20" s="1"/>
  <c r="C1288" i="20" s="1"/>
  <c r="C1289" i="20" s="1"/>
  <c r="C1290" i="20" s="1"/>
  <c r="C1291" i="20" s="1"/>
  <c r="C1292" i="20" s="1"/>
  <c r="C1293" i="20" s="1"/>
  <c r="C1294" i="20" s="1"/>
  <c r="C1295" i="20" s="1"/>
  <c r="C1296" i="20" s="1"/>
  <c r="C1297" i="20" s="1"/>
  <c r="C1298" i="20" s="1"/>
  <c r="C1299" i="20" s="1"/>
  <c r="C1300" i="20" s="1"/>
  <c r="K1266" i="20"/>
  <c r="I1265" i="20"/>
  <c r="N1252" i="20"/>
  <c r="A1252" i="20"/>
  <c r="D1181" i="20"/>
  <c r="C1181" i="20"/>
  <c r="C1182" i="20" s="1"/>
  <c r="C1183" i="20" s="1"/>
  <c r="C1184" i="20" s="1"/>
  <c r="C1185" i="20" s="1"/>
  <c r="C1186" i="20" s="1"/>
  <c r="C1187" i="20" s="1"/>
  <c r="C1188" i="20" s="1"/>
  <c r="C1189" i="20" s="1"/>
  <c r="C1190" i="20" s="1"/>
  <c r="C1191" i="20" s="1"/>
  <c r="C1192" i="20" s="1"/>
  <c r="C1193" i="20" s="1"/>
  <c r="C1194" i="20" s="1"/>
  <c r="C1195" i="20" s="1"/>
  <c r="C1196" i="20" s="1"/>
  <c r="C1197" i="20" s="1"/>
  <c r="C1198" i="20" s="1"/>
  <c r="C1199" i="20" s="1"/>
  <c r="C1200" i="20" s="1"/>
  <c r="C1201" i="20" s="1"/>
  <c r="C1202" i="20" s="1"/>
  <c r="C1203" i="20" s="1"/>
  <c r="C1204" i="20" s="1"/>
  <c r="C1205" i="20" s="1"/>
  <c r="C1206" i="20" s="1"/>
  <c r="C1207" i="20" s="1"/>
  <c r="C1208" i="20" s="1"/>
  <c r="C1209" i="20" s="1"/>
  <c r="C1210" i="20" s="1"/>
  <c r="K1176" i="20"/>
  <c r="I1175" i="20"/>
  <c r="O1162" i="20"/>
  <c r="N1162" i="20"/>
  <c r="A1162" i="20"/>
  <c r="D1091" i="20"/>
  <c r="C1091" i="20"/>
  <c r="C1092" i="20" s="1"/>
  <c r="C1093" i="20" s="1"/>
  <c r="C1094" i="20" s="1"/>
  <c r="C1095" i="20" s="1"/>
  <c r="C1096" i="20" s="1"/>
  <c r="C1097" i="20" s="1"/>
  <c r="C1098" i="20" s="1"/>
  <c r="C1099" i="20" s="1"/>
  <c r="C1100" i="20" s="1"/>
  <c r="C1101" i="20" s="1"/>
  <c r="C1102" i="20" s="1"/>
  <c r="C1103" i="20" s="1"/>
  <c r="C1104" i="20" s="1"/>
  <c r="C1105" i="20" s="1"/>
  <c r="C1106" i="20" s="1"/>
  <c r="C1107" i="20" s="1"/>
  <c r="C1108" i="20" s="1"/>
  <c r="C1109" i="20" s="1"/>
  <c r="C1110" i="20" s="1"/>
  <c r="C1111" i="20" s="1"/>
  <c r="C1112" i="20" s="1"/>
  <c r="C1113" i="20" s="1"/>
  <c r="C1114" i="20" s="1"/>
  <c r="C1115" i="20" s="1"/>
  <c r="C1116" i="20" s="1"/>
  <c r="C1117" i="20" s="1"/>
  <c r="C1118" i="20" s="1"/>
  <c r="C1119" i="20" s="1"/>
  <c r="C1120" i="20" s="1"/>
  <c r="C1121" i="20" s="1"/>
  <c r="C1122" i="20" s="1"/>
  <c r="C1123" i="20" s="1"/>
  <c r="C1124" i="20" s="1"/>
  <c r="C1125" i="20" s="1"/>
  <c r="C1126" i="20" s="1"/>
  <c r="C1127" i="20" s="1"/>
  <c r="C1128" i="20" s="1"/>
  <c r="C1129" i="20" s="1"/>
  <c r="C1130" i="20" s="1"/>
  <c r="C1131" i="20" s="1"/>
  <c r="C1132" i="20" s="1"/>
  <c r="C1133" i="20" s="1"/>
  <c r="C1134" i="20" s="1"/>
  <c r="C1135" i="20" s="1"/>
  <c r="C1136" i="20" s="1"/>
  <c r="C1137" i="20" s="1"/>
  <c r="C1138" i="20" s="1"/>
  <c r="C1139" i="20" s="1"/>
  <c r="C1140" i="20" s="1"/>
  <c r="C1141" i="20" s="1"/>
  <c r="C1142" i="20" s="1"/>
  <c r="C1143" i="20" s="1"/>
  <c r="C1144" i="20" s="1"/>
  <c r="C1145" i="20" s="1"/>
  <c r="C1146" i="20" s="1"/>
  <c r="C1147" i="20" s="1"/>
  <c r="C1148" i="20" s="1"/>
  <c r="C1149" i="20" s="1"/>
  <c r="C1150" i="20" s="1"/>
  <c r="K1086" i="20"/>
  <c r="I1085" i="20"/>
  <c r="N1072" i="20"/>
  <c r="A1072" i="20"/>
  <c r="D1001" i="20"/>
  <c r="C1001" i="20"/>
  <c r="C1002" i="20" s="1"/>
  <c r="C1003" i="20" s="1"/>
  <c r="C1004" i="20" s="1"/>
  <c r="C1005" i="20" s="1"/>
  <c r="C1006" i="20" s="1"/>
  <c r="C1007" i="20" s="1"/>
  <c r="C1008" i="20" s="1"/>
  <c r="C1009" i="20" s="1"/>
  <c r="C1010" i="20" s="1"/>
  <c r="C1011" i="20" s="1"/>
  <c r="C1012" i="20" s="1"/>
  <c r="C1013" i="20" s="1"/>
  <c r="C1014" i="20" s="1"/>
  <c r="C1015" i="20" s="1"/>
  <c r="C1016" i="20" s="1"/>
  <c r="C1017" i="20" s="1"/>
  <c r="C1018" i="20" s="1"/>
  <c r="C1019" i="20" s="1"/>
  <c r="C1020" i="20" s="1"/>
  <c r="C1021" i="20" s="1"/>
  <c r="C1022" i="20" s="1"/>
  <c r="C1023" i="20" s="1"/>
  <c r="C1024" i="20" s="1"/>
  <c r="C1025" i="20" s="1"/>
  <c r="C1026" i="20" s="1"/>
  <c r="C1027" i="20" s="1"/>
  <c r="C1028" i="20" s="1"/>
  <c r="C1029" i="20" s="1"/>
  <c r="C1030" i="20" s="1"/>
  <c r="C1031" i="20" s="1"/>
  <c r="C1032" i="20" s="1"/>
  <c r="C1033" i="20" s="1"/>
  <c r="C1034" i="20" s="1"/>
  <c r="C1035" i="20" s="1"/>
  <c r="C1036" i="20" s="1"/>
  <c r="C1037" i="20" s="1"/>
  <c r="C1038" i="20" s="1"/>
  <c r="C1039" i="20" s="1"/>
  <c r="C1040" i="20" s="1"/>
  <c r="C1041" i="20" s="1"/>
  <c r="C1042" i="20" s="1"/>
  <c r="C1043" i="20" s="1"/>
  <c r="C1044" i="20" s="1"/>
  <c r="C1045" i="20" s="1"/>
  <c r="C1046" i="20" s="1"/>
  <c r="C1047" i="20" s="1"/>
  <c r="C1048" i="20" s="1"/>
  <c r="C1049" i="20" s="1"/>
  <c r="C1050" i="20" s="1"/>
  <c r="C1051" i="20" s="1"/>
  <c r="C1052" i="20" s="1"/>
  <c r="C1053" i="20" s="1"/>
  <c r="C1054" i="20" s="1"/>
  <c r="C1055" i="20" s="1"/>
  <c r="C1056" i="20" s="1"/>
  <c r="C1057" i="20" s="1"/>
  <c r="C1058" i="20" s="1"/>
  <c r="C1059" i="20" s="1"/>
  <c r="C1060" i="20" s="1"/>
  <c r="K996" i="20"/>
  <c r="I995" i="20"/>
  <c r="N982" i="20"/>
  <c r="A982" i="20"/>
  <c r="D911" i="20"/>
  <c r="C911" i="20"/>
  <c r="C912" i="20" s="1"/>
  <c r="C913" i="20" s="1"/>
  <c r="C914" i="20" s="1"/>
  <c r="C915" i="20" s="1"/>
  <c r="C916" i="20" s="1"/>
  <c r="C917" i="20" s="1"/>
  <c r="C918" i="20" s="1"/>
  <c r="C919" i="20" s="1"/>
  <c r="C920" i="20" s="1"/>
  <c r="C921" i="20" s="1"/>
  <c r="C922" i="20" s="1"/>
  <c r="C923" i="20" s="1"/>
  <c r="C924" i="20" s="1"/>
  <c r="C925" i="20" s="1"/>
  <c r="C926" i="20" s="1"/>
  <c r="C927" i="20" s="1"/>
  <c r="C928" i="20" s="1"/>
  <c r="C929" i="20" s="1"/>
  <c r="C930" i="20" s="1"/>
  <c r="C931" i="20" s="1"/>
  <c r="C932" i="20" s="1"/>
  <c r="C933" i="20" s="1"/>
  <c r="C934" i="20" s="1"/>
  <c r="C935" i="20" s="1"/>
  <c r="C936" i="20" s="1"/>
  <c r="C937" i="20" s="1"/>
  <c r="C938" i="20" s="1"/>
  <c r="C939" i="20" s="1"/>
  <c r="C940" i="20" s="1"/>
  <c r="C941" i="20" s="1"/>
  <c r="C942" i="20" s="1"/>
  <c r="C943" i="20" s="1"/>
  <c r="C944" i="20" s="1"/>
  <c r="C945" i="20" s="1"/>
  <c r="C946" i="20" s="1"/>
  <c r="C947" i="20" s="1"/>
  <c r="C948" i="20" s="1"/>
  <c r="C949" i="20" s="1"/>
  <c r="C950" i="20" s="1"/>
  <c r="C951" i="20" s="1"/>
  <c r="C952" i="20" s="1"/>
  <c r="C953" i="20" s="1"/>
  <c r="C954" i="20" s="1"/>
  <c r="C955" i="20" s="1"/>
  <c r="C956" i="20" s="1"/>
  <c r="C957" i="20" s="1"/>
  <c r="C958" i="20" s="1"/>
  <c r="C959" i="20" s="1"/>
  <c r="C960" i="20" s="1"/>
  <c r="C961" i="20" s="1"/>
  <c r="C962" i="20" s="1"/>
  <c r="C963" i="20" s="1"/>
  <c r="C964" i="20" s="1"/>
  <c r="C965" i="20" s="1"/>
  <c r="C966" i="20" s="1"/>
  <c r="C967" i="20" s="1"/>
  <c r="C968" i="20" s="1"/>
  <c r="C969" i="20" s="1"/>
  <c r="C970" i="20" s="1"/>
  <c r="K906" i="20"/>
  <c r="I905" i="20"/>
  <c r="N892" i="20"/>
  <c r="A892" i="20"/>
  <c r="D821" i="20"/>
  <c r="C821" i="20"/>
  <c r="C822" i="20" s="1"/>
  <c r="C823" i="20" s="1"/>
  <c r="C824" i="20" s="1"/>
  <c r="C825" i="20" s="1"/>
  <c r="C826" i="20" s="1"/>
  <c r="C827" i="20" s="1"/>
  <c r="C828" i="20" s="1"/>
  <c r="C829" i="20" s="1"/>
  <c r="C830" i="20" s="1"/>
  <c r="C831" i="20" s="1"/>
  <c r="K816" i="20"/>
  <c r="I815" i="20"/>
  <c r="N802" i="20"/>
  <c r="A802" i="20"/>
  <c r="D731" i="20"/>
  <c r="C731" i="20"/>
  <c r="C732" i="20" s="1"/>
  <c r="C733" i="20" s="1"/>
  <c r="C734" i="20" s="1"/>
  <c r="C735" i="20" s="1"/>
  <c r="C736" i="20" s="1"/>
  <c r="C737" i="20" s="1"/>
  <c r="C738" i="20" s="1"/>
  <c r="C739" i="20" s="1"/>
  <c r="C740" i="20" s="1"/>
  <c r="C741" i="20" s="1"/>
  <c r="K726" i="20"/>
  <c r="I725" i="20"/>
  <c r="N712" i="20"/>
  <c r="A712" i="20"/>
  <c r="D641" i="20"/>
  <c r="C641" i="20"/>
  <c r="C642" i="20" s="1"/>
  <c r="C643" i="20" s="1"/>
  <c r="C644" i="20" s="1"/>
  <c r="C645" i="20" s="1"/>
  <c r="C646" i="20" s="1"/>
  <c r="C647" i="20" s="1"/>
  <c r="C648" i="20" s="1"/>
  <c r="C649" i="20" s="1"/>
  <c r="C650" i="20" s="1"/>
  <c r="K636" i="20"/>
  <c r="I635" i="20"/>
  <c r="O622" i="20"/>
  <c r="N622" i="20"/>
  <c r="A622" i="20"/>
  <c r="D551" i="20"/>
  <c r="C551" i="20"/>
  <c r="C552" i="20" s="1"/>
  <c r="C553" i="20" s="1"/>
  <c r="C554" i="20" s="1"/>
  <c r="C555" i="20" s="1"/>
  <c r="C556" i="20" s="1"/>
  <c r="C557" i="20" s="1"/>
  <c r="C558" i="20" s="1"/>
  <c r="C559" i="20" s="1"/>
  <c r="C560" i="20" s="1"/>
  <c r="C561" i="20" s="1"/>
  <c r="C562" i="20" s="1"/>
  <c r="C563" i="20" s="1"/>
  <c r="C564" i="20" s="1"/>
  <c r="K546" i="20"/>
  <c r="I545" i="20"/>
  <c r="N532" i="20"/>
  <c r="A532" i="20"/>
  <c r="D461" i="20"/>
  <c r="C461" i="20"/>
  <c r="C462" i="20" s="1"/>
  <c r="C463" i="20" s="1"/>
  <c r="C464" i="20" s="1"/>
  <c r="C465" i="20" s="1"/>
  <c r="C466" i="20" s="1"/>
  <c r="C467" i="20" s="1"/>
  <c r="C468" i="20" s="1"/>
  <c r="C469" i="20" s="1"/>
  <c r="C470" i="20" s="1"/>
  <c r="C471" i="20" s="1"/>
  <c r="C472" i="20" s="1"/>
  <c r="C473" i="20" s="1"/>
  <c r="C474" i="20" s="1"/>
  <c r="K456" i="20"/>
  <c r="I455" i="20"/>
  <c r="N442" i="20"/>
  <c r="A442" i="20"/>
  <c r="D371" i="20"/>
  <c r="C371" i="20"/>
  <c r="C372" i="20" s="1"/>
  <c r="C373" i="20" s="1"/>
  <c r="C374" i="20" s="1"/>
  <c r="C375" i="20" s="1"/>
  <c r="C376" i="20" s="1"/>
  <c r="C377" i="20" s="1"/>
  <c r="C378" i="20" s="1"/>
  <c r="C379" i="20" s="1"/>
  <c r="C380" i="20" s="1"/>
  <c r="C381" i="20" s="1"/>
  <c r="C382" i="20" s="1"/>
  <c r="C383" i="20" s="1"/>
  <c r="C384" i="20" s="1"/>
  <c r="K366" i="20"/>
  <c r="I365" i="20"/>
  <c r="O352" i="20"/>
  <c r="N352" i="20"/>
  <c r="A352" i="20"/>
  <c r="D281" i="20"/>
  <c r="C281" i="20"/>
  <c r="C282" i="20" s="1"/>
  <c r="C283" i="20" s="1"/>
  <c r="C284" i="20" s="1"/>
  <c r="C285" i="20" s="1"/>
  <c r="C286" i="20" s="1"/>
  <c r="C287" i="20" s="1"/>
  <c r="C288" i="20" s="1"/>
  <c r="C289" i="20" s="1"/>
  <c r="C290" i="20" s="1"/>
  <c r="C291" i="20" s="1"/>
  <c r="C292" i="20" s="1"/>
  <c r="C293" i="20" s="1"/>
  <c r="C294" i="20" s="1"/>
  <c r="K276" i="20"/>
  <c r="I275" i="20"/>
  <c r="N262" i="20"/>
  <c r="A262" i="20"/>
  <c r="D191" i="20"/>
  <c r="C191" i="20"/>
  <c r="C192" i="20" s="1"/>
  <c r="C193" i="20" s="1"/>
  <c r="C194" i="20" s="1"/>
  <c r="C195" i="20" s="1"/>
  <c r="C196" i="20" s="1"/>
  <c r="C197" i="20" s="1"/>
  <c r="C198" i="20" s="1"/>
  <c r="C199" i="20" s="1"/>
  <c r="C200" i="20" s="1"/>
  <c r="C201" i="20" s="1"/>
  <c r="C202" i="20" s="1"/>
  <c r="C203" i="20" s="1"/>
  <c r="C204" i="20" s="1"/>
  <c r="C205" i="20" s="1"/>
  <c r="C206" i="20" s="1"/>
  <c r="K186" i="20"/>
  <c r="I185" i="20"/>
  <c r="N172" i="20"/>
  <c r="A172" i="20"/>
  <c r="F62" i="38"/>
  <c r="E62" i="38"/>
  <c r="L213" i="2" s="1"/>
  <c r="D62" i="38"/>
  <c r="C62" i="38"/>
  <c r="L214" i="2" s="1"/>
  <c r="G64" i="2"/>
  <c r="A7" i="40"/>
  <c r="A4" i="40"/>
  <c r="A3" i="40"/>
  <c r="A12" i="40"/>
  <c r="A15" i="40" s="1"/>
  <c r="A16" i="40" s="1"/>
  <c r="A17" i="40" s="1"/>
  <c r="A18" i="40" s="1"/>
  <c r="A19" i="40" s="1"/>
  <c r="A20" i="40" s="1"/>
  <c r="A21" i="40" s="1"/>
  <c r="A22" i="40" s="1"/>
  <c r="A23" i="40" s="1"/>
  <c r="A26" i="40" s="1"/>
  <c r="B48" i="39"/>
  <c r="A4" i="39"/>
  <c r="B60" i="39" s="1"/>
  <c r="A1" i="39"/>
  <c r="C62" i="39"/>
  <c r="Q10" i="37"/>
  <c r="M10" i="37"/>
  <c r="F13" i="37"/>
  <c r="E13" i="37"/>
  <c r="D13" i="37"/>
  <c r="C13" i="37"/>
  <c r="B3" i="37"/>
  <c r="Q10" i="36"/>
  <c r="M10" i="36"/>
  <c r="C13" i="36"/>
  <c r="F13" i="36"/>
  <c r="D13" i="36"/>
  <c r="E13" i="36"/>
  <c r="B3" i="36"/>
  <c r="A1" i="38"/>
  <c r="F67" i="38"/>
  <c r="E67" i="38"/>
  <c r="D67" i="38"/>
  <c r="L240" i="2"/>
  <c r="F68" i="39"/>
  <c r="E68" i="39"/>
  <c r="D68" i="39"/>
  <c r="C68" i="39"/>
  <c r="E50" i="39" s="1"/>
  <c r="A11" i="39"/>
  <c r="A12" i="39" s="1"/>
  <c r="A13" i="39" s="1"/>
  <c r="A14" i="39" s="1"/>
  <c r="A15" i="39" s="1"/>
  <c r="A16" i="39" s="1"/>
  <c r="A17" i="39" s="1"/>
  <c r="A18" i="39" s="1"/>
  <c r="A19" i="39" s="1"/>
  <c r="A20" i="39" s="1"/>
  <c r="A21" i="39" s="1"/>
  <c r="A22" i="39" s="1"/>
  <c r="A23" i="39" s="1"/>
  <c r="E242" i="2" s="1"/>
  <c r="A2" i="39"/>
  <c r="B6" i="14"/>
  <c r="A6" i="13"/>
  <c r="A81" i="13" s="1"/>
  <c r="A6" i="20"/>
  <c r="A82" i="20" s="1"/>
  <c r="A6" i="31"/>
  <c r="A6" i="11"/>
  <c r="A6" i="10"/>
  <c r="A6" i="9"/>
  <c r="A6" i="8"/>
  <c r="B36" i="8" s="1"/>
  <c r="A6" i="7"/>
  <c r="B26" i="7" s="1"/>
  <c r="A6" i="6"/>
  <c r="A6" i="5"/>
  <c r="A4" i="38"/>
  <c r="Q27" i="21"/>
  <c r="Q22" i="21"/>
  <c r="Q17" i="21"/>
  <c r="D48" i="38"/>
  <c r="C48" i="38"/>
  <c r="F28" i="38"/>
  <c r="D28" i="38"/>
  <c r="A69" i="38"/>
  <c r="A71" i="38" s="1"/>
  <c r="A75" i="38" s="1"/>
  <c r="A76" i="38" s="1"/>
  <c r="A77" i="38" s="1"/>
  <c r="A78" i="38" s="1"/>
  <c r="A79" i="38" s="1"/>
  <c r="A80" i="38" s="1"/>
  <c r="E87" i="38"/>
  <c r="D87" i="38"/>
  <c r="F86" i="38"/>
  <c r="F85" i="38"/>
  <c r="E80" i="38"/>
  <c r="D80" i="38"/>
  <c r="F79" i="38"/>
  <c r="F78" i="38"/>
  <c r="F77" i="38"/>
  <c r="F76" i="38"/>
  <c r="F75" i="38"/>
  <c r="A11" i="38"/>
  <c r="A12" i="38" s="1"/>
  <c r="A13" i="38" s="1"/>
  <c r="A14" i="38" s="1"/>
  <c r="A15" i="38" s="1"/>
  <c r="A16" i="38" s="1"/>
  <c r="A17" i="38" s="1"/>
  <c r="A18" i="38" s="1"/>
  <c r="A19" i="38" s="1"/>
  <c r="A20" i="38" s="1"/>
  <c r="A21" i="38" s="1"/>
  <c r="A22" i="38" s="1"/>
  <c r="A23" i="38" s="1"/>
  <c r="A2" i="38"/>
  <c r="I39" i="31"/>
  <c r="I36" i="31"/>
  <c r="I35" i="31"/>
  <c r="I34" i="31"/>
  <c r="I33" i="31"/>
  <c r="I32" i="31"/>
  <c r="I25" i="31"/>
  <c r="I26" i="31"/>
  <c r="I27" i="31"/>
  <c r="I28" i="31"/>
  <c r="I29" i="31"/>
  <c r="D43" i="5"/>
  <c r="D42" i="5"/>
  <c r="D27" i="5"/>
  <c r="D19" i="5"/>
  <c r="B1" i="37"/>
  <c r="B1" i="36"/>
  <c r="S110" i="37"/>
  <c r="R110" i="37"/>
  <c r="Q110" i="37"/>
  <c r="O110" i="37"/>
  <c r="N110" i="37"/>
  <c r="M110" i="37"/>
  <c r="F110" i="37"/>
  <c r="E110" i="37"/>
  <c r="S109" i="37"/>
  <c r="R109" i="37"/>
  <c r="Q109" i="37"/>
  <c r="O109" i="37"/>
  <c r="N109" i="37"/>
  <c r="M109" i="37"/>
  <c r="K107" i="37"/>
  <c r="J107" i="37"/>
  <c r="I107" i="37"/>
  <c r="D107" i="37"/>
  <c r="C107" i="37"/>
  <c r="K106" i="37"/>
  <c r="J106" i="37"/>
  <c r="I106" i="37"/>
  <c r="F106" i="37"/>
  <c r="E106" i="37"/>
  <c r="F105" i="37"/>
  <c r="E105" i="37"/>
  <c r="F104" i="37"/>
  <c r="E104" i="37"/>
  <c r="F103" i="37"/>
  <c r="E103" i="37"/>
  <c r="F102" i="37"/>
  <c r="E102" i="37"/>
  <c r="F101" i="37"/>
  <c r="E101" i="37"/>
  <c r="F100" i="37"/>
  <c r="E100" i="37"/>
  <c r="F99" i="37"/>
  <c r="E99" i="37"/>
  <c r="F98" i="37"/>
  <c r="E98" i="37"/>
  <c r="F97" i="37"/>
  <c r="E97" i="37"/>
  <c r="F96" i="37"/>
  <c r="E96" i="37"/>
  <c r="K95" i="37"/>
  <c r="J95" i="37"/>
  <c r="I95" i="37"/>
  <c r="D95" i="37"/>
  <c r="C95" i="37"/>
  <c r="K94" i="37"/>
  <c r="J94" i="37"/>
  <c r="I94" i="37"/>
  <c r="D94" i="37"/>
  <c r="C94" i="37"/>
  <c r="K93" i="37"/>
  <c r="J93" i="37"/>
  <c r="I93" i="37"/>
  <c r="D93" i="37"/>
  <c r="C93" i="37"/>
  <c r="K92" i="37"/>
  <c r="J92" i="37"/>
  <c r="I92" i="37"/>
  <c r="D92" i="37"/>
  <c r="C92" i="37"/>
  <c r="K91" i="37"/>
  <c r="J91" i="37"/>
  <c r="I91" i="37"/>
  <c r="D91" i="37"/>
  <c r="C91" i="37"/>
  <c r="K90" i="37"/>
  <c r="J90" i="37"/>
  <c r="I90" i="37"/>
  <c r="D90" i="37"/>
  <c r="C90" i="37"/>
  <c r="K89" i="37"/>
  <c r="J89" i="37"/>
  <c r="I89" i="37"/>
  <c r="D89" i="37"/>
  <c r="C89" i="37"/>
  <c r="K88" i="37"/>
  <c r="J88" i="37"/>
  <c r="I88" i="37"/>
  <c r="D88" i="37"/>
  <c r="C88" i="37"/>
  <c r="K87" i="37"/>
  <c r="J87" i="37"/>
  <c r="I87" i="37"/>
  <c r="D87" i="37"/>
  <c r="C87" i="37"/>
  <c r="K86" i="37"/>
  <c r="J86" i="37"/>
  <c r="I86" i="37"/>
  <c r="D86" i="37"/>
  <c r="C86" i="37"/>
  <c r="K85" i="37"/>
  <c r="J85" i="37"/>
  <c r="I85" i="37"/>
  <c r="D85" i="37"/>
  <c r="C85" i="37"/>
  <c r="K84" i="37"/>
  <c r="J84" i="37"/>
  <c r="I84" i="37"/>
  <c r="D84" i="37"/>
  <c r="C84" i="37"/>
  <c r="K83" i="37"/>
  <c r="J83" i="37"/>
  <c r="I83" i="37"/>
  <c r="D83" i="37"/>
  <c r="C83" i="37"/>
  <c r="K82" i="37"/>
  <c r="J82" i="37"/>
  <c r="I82" i="37"/>
  <c r="D82" i="37"/>
  <c r="C82" i="37"/>
  <c r="K81" i="37"/>
  <c r="J81" i="37"/>
  <c r="I81" i="37"/>
  <c r="D81" i="37"/>
  <c r="C81" i="37"/>
  <c r="K80" i="37"/>
  <c r="J80" i="37"/>
  <c r="I80" i="37"/>
  <c r="D80" i="37"/>
  <c r="C80" i="37"/>
  <c r="K79" i="37"/>
  <c r="J79" i="37"/>
  <c r="I79" i="37"/>
  <c r="D79" i="37"/>
  <c r="C79" i="37"/>
  <c r="K78" i="37"/>
  <c r="J78" i="37"/>
  <c r="I78" i="37"/>
  <c r="D78" i="37"/>
  <c r="C78" i="37"/>
  <c r="K77" i="37"/>
  <c r="J77" i="37"/>
  <c r="I77" i="37"/>
  <c r="D77" i="37"/>
  <c r="C77" i="37"/>
  <c r="K76" i="37"/>
  <c r="J76" i="37"/>
  <c r="I76" i="37"/>
  <c r="D76" i="37"/>
  <c r="C76" i="37"/>
  <c r="K75" i="37"/>
  <c r="J75" i="37"/>
  <c r="I75" i="37"/>
  <c r="D75" i="37"/>
  <c r="C75" i="37"/>
  <c r="K74" i="37"/>
  <c r="J74" i="37"/>
  <c r="I74" i="37"/>
  <c r="D74" i="37"/>
  <c r="C74" i="37"/>
  <c r="K73" i="37"/>
  <c r="J73" i="37"/>
  <c r="I73" i="37"/>
  <c r="D73" i="37"/>
  <c r="C73" i="37"/>
  <c r="K72" i="37"/>
  <c r="J72" i="37"/>
  <c r="I72" i="37"/>
  <c r="D72" i="37"/>
  <c r="C72" i="37"/>
  <c r="K71" i="37"/>
  <c r="J71" i="37"/>
  <c r="I71" i="37"/>
  <c r="D71" i="37"/>
  <c r="C71" i="37"/>
  <c r="K70" i="37"/>
  <c r="J70" i="37"/>
  <c r="I70" i="37"/>
  <c r="D70" i="37"/>
  <c r="C70" i="37"/>
  <c r="K69" i="37"/>
  <c r="J69" i="37"/>
  <c r="I69" i="37"/>
  <c r="D69" i="37"/>
  <c r="C69" i="37"/>
  <c r="K68" i="37"/>
  <c r="J68" i="37"/>
  <c r="I68" i="37"/>
  <c r="D68" i="37"/>
  <c r="C68" i="37"/>
  <c r="K67" i="37"/>
  <c r="J67" i="37"/>
  <c r="I67" i="37"/>
  <c r="D67" i="37"/>
  <c r="C67" i="37"/>
  <c r="K66" i="37"/>
  <c r="J66" i="37"/>
  <c r="I66" i="37"/>
  <c r="D66" i="37"/>
  <c r="C66" i="37"/>
  <c r="K65" i="37"/>
  <c r="J65" i="37"/>
  <c r="I65" i="37"/>
  <c r="D65" i="37"/>
  <c r="C65" i="37"/>
  <c r="K64" i="37"/>
  <c r="J64" i="37"/>
  <c r="I64" i="37"/>
  <c r="D64" i="37"/>
  <c r="C64" i="37"/>
  <c r="K63" i="37"/>
  <c r="J63" i="37"/>
  <c r="I63" i="37"/>
  <c r="D63" i="37"/>
  <c r="C63" i="37"/>
  <c r="K62" i="37"/>
  <c r="J62" i="37"/>
  <c r="I62" i="37"/>
  <c r="D62" i="37"/>
  <c r="C62" i="37"/>
  <c r="K61" i="37"/>
  <c r="J61" i="37"/>
  <c r="I61" i="37"/>
  <c r="D61" i="37"/>
  <c r="C61" i="37"/>
  <c r="K60" i="37"/>
  <c r="J60" i="37"/>
  <c r="I60" i="37"/>
  <c r="D60" i="37"/>
  <c r="C60" i="37"/>
  <c r="K59" i="37"/>
  <c r="J59" i="37"/>
  <c r="I59" i="37"/>
  <c r="D59" i="37"/>
  <c r="C59" i="37"/>
  <c r="K58" i="37"/>
  <c r="J58" i="37"/>
  <c r="I58" i="37"/>
  <c r="D58" i="37"/>
  <c r="C58" i="37"/>
  <c r="K57" i="37"/>
  <c r="J57" i="37"/>
  <c r="I57" i="37"/>
  <c r="D57" i="37"/>
  <c r="C57" i="37"/>
  <c r="K56" i="37"/>
  <c r="J56" i="37"/>
  <c r="I56" i="37"/>
  <c r="D56" i="37"/>
  <c r="C56" i="37"/>
  <c r="K55" i="37"/>
  <c r="J55" i="37"/>
  <c r="I55" i="37"/>
  <c r="D55" i="37"/>
  <c r="C55" i="37"/>
  <c r="K54" i="37"/>
  <c r="J54" i="37"/>
  <c r="I54" i="37"/>
  <c r="D54" i="37"/>
  <c r="C54" i="37"/>
  <c r="K53" i="37"/>
  <c r="J53" i="37"/>
  <c r="I53" i="37"/>
  <c r="D53" i="37"/>
  <c r="C53" i="37"/>
  <c r="K52" i="37"/>
  <c r="J52" i="37"/>
  <c r="I52" i="37"/>
  <c r="D52" i="37"/>
  <c r="C52" i="37"/>
  <c r="K51" i="37"/>
  <c r="J51" i="37"/>
  <c r="I51" i="37"/>
  <c r="D51" i="37"/>
  <c r="C51" i="37"/>
  <c r="K50" i="37"/>
  <c r="J50" i="37"/>
  <c r="I50" i="37"/>
  <c r="D50" i="37"/>
  <c r="C50" i="37"/>
  <c r="K49" i="37"/>
  <c r="J49" i="37"/>
  <c r="I49" i="37"/>
  <c r="D49" i="37"/>
  <c r="C49" i="37"/>
  <c r="K48" i="37"/>
  <c r="J48" i="37"/>
  <c r="I48" i="37"/>
  <c r="D48" i="37"/>
  <c r="C48" i="37"/>
  <c r="K47" i="37"/>
  <c r="J47" i="37"/>
  <c r="I47" i="37"/>
  <c r="D47" i="37"/>
  <c r="C47" i="37"/>
  <c r="K46" i="37"/>
  <c r="J46" i="37"/>
  <c r="I46" i="37"/>
  <c r="D46" i="37"/>
  <c r="C46" i="37"/>
  <c r="K45" i="37"/>
  <c r="J45" i="37"/>
  <c r="I45" i="37"/>
  <c r="D45" i="37"/>
  <c r="C45" i="37"/>
  <c r="K44" i="37"/>
  <c r="J44" i="37"/>
  <c r="I44" i="37"/>
  <c r="D44" i="37"/>
  <c r="C44" i="37"/>
  <c r="K43" i="37"/>
  <c r="J43" i="37"/>
  <c r="I43" i="37"/>
  <c r="D43" i="37"/>
  <c r="C43" i="37"/>
  <c r="K42" i="37"/>
  <c r="J42" i="37"/>
  <c r="I42" i="37"/>
  <c r="D42" i="37"/>
  <c r="C42" i="37"/>
  <c r="K41" i="37"/>
  <c r="J41" i="37"/>
  <c r="I41" i="37"/>
  <c r="D41" i="37"/>
  <c r="C41" i="37"/>
  <c r="K40" i="37"/>
  <c r="J40" i="37"/>
  <c r="I40" i="37"/>
  <c r="D40" i="37"/>
  <c r="C40" i="37"/>
  <c r="K39" i="37"/>
  <c r="J39" i="37"/>
  <c r="I39" i="37"/>
  <c r="D39" i="37"/>
  <c r="C39" i="37"/>
  <c r="K38" i="37"/>
  <c r="J38" i="37"/>
  <c r="I38" i="37"/>
  <c r="D38" i="37"/>
  <c r="C38" i="37"/>
  <c r="K37" i="37"/>
  <c r="J37" i="37"/>
  <c r="I37" i="37"/>
  <c r="D37" i="37"/>
  <c r="C37" i="37"/>
  <c r="K36" i="37"/>
  <c r="J36" i="37"/>
  <c r="I36" i="37"/>
  <c r="D36" i="37"/>
  <c r="C36" i="37"/>
  <c r="K35" i="37"/>
  <c r="J35" i="37"/>
  <c r="I35" i="37"/>
  <c r="D35" i="37"/>
  <c r="C35" i="37"/>
  <c r="K34" i="37"/>
  <c r="J34" i="37"/>
  <c r="I34" i="37"/>
  <c r="D34" i="37"/>
  <c r="C34" i="37"/>
  <c r="K33" i="37"/>
  <c r="J33" i="37"/>
  <c r="I33" i="37"/>
  <c r="D33" i="37"/>
  <c r="C33" i="37"/>
  <c r="K32" i="37"/>
  <c r="J32" i="37"/>
  <c r="I32" i="37"/>
  <c r="D32" i="37"/>
  <c r="C32" i="37"/>
  <c r="K31" i="37"/>
  <c r="J31" i="37"/>
  <c r="I31" i="37"/>
  <c r="D31" i="37"/>
  <c r="C31" i="37"/>
  <c r="K30" i="37"/>
  <c r="J30" i="37"/>
  <c r="I30" i="37"/>
  <c r="D30" i="37"/>
  <c r="C30" i="37"/>
  <c r="K29" i="37"/>
  <c r="J29" i="37"/>
  <c r="I29" i="37"/>
  <c r="D29" i="37"/>
  <c r="C29" i="37"/>
  <c r="K28" i="37"/>
  <c r="J28" i="37"/>
  <c r="I28" i="37"/>
  <c r="D28" i="37"/>
  <c r="C28" i="37"/>
  <c r="K27" i="37"/>
  <c r="J27" i="37"/>
  <c r="I27" i="37"/>
  <c r="D27" i="37"/>
  <c r="C27" i="37"/>
  <c r="K26" i="37"/>
  <c r="J26" i="37"/>
  <c r="I26" i="37"/>
  <c r="D26" i="37"/>
  <c r="C26" i="37"/>
  <c r="K25" i="37"/>
  <c r="J25" i="37"/>
  <c r="I25" i="37"/>
  <c r="D25" i="37"/>
  <c r="C25" i="37"/>
  <c r="K24" i="37"/>
  <c r="J24" i="37"/>
  <c r="I24" i="37"/>
  <c r="D24" i="37"/>
  <c r="C24" i="37"/>
  <c r="K23" i="37"/>
  <c r="J23" i="37"/>
  <c r="I23" i="37"/>
  <c r="D23" i="37"/>
  <c r="C23" i="37"/>
  <c r="K22" i="37"/>
  <c r="J22" i="37"/>
  <c r="I22" i="37"/>
  <c r="D22" i="37"/>
  <c r="C22" i="37"/>
  <c r="K21" i="37"/>
  <c r="J21" i="37"/>
  <c r="I21" i="37"/>
  <c r="D21" i="37"/>
  <c r="C21" i="37"/>
  <c r="K20" i="37"/>
  <c r="J20" i="37"/>
  <c r="I20" i="37"/>
  <c r="D20" i="37"/>
  <c r="C20" i="37"/>
  <c r="K19" i="37"/>
  <c r="J19" i="37"/>
  <c r="I19" i="37"/>
  <c r="D19" i="37"/>
  <c r="C19" i="37"/>
  <c r="K18" i="37"/>
  <c r="J18" i="37"/>
  <c r="I18" i="37"/>
  <c r="D18" i="37"/>
  <c r="C18" i="37"/>
  <c r="A18" i="37"/>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 r="A52" i="37" s="1"/>
  <c r="A53" i="37" s="1"/>
  <c r="A54" i="37" s="1"/>
  <c r="A55" i="37" s="1"/>
  <c r="A56" i="37" s="1"/>
  <c r="A57" i="37" s="1"/>
  <c r="A58" i="37" s="1"/>
  <c r="A59" i="37" s="1"/>
  <c r="A60" i="37" s="1"/>
  <c r="A61" i="37" s="1"/>
  <c r="A62" i="37" s="1"/>
  <c r="A63" i="37" s="1"/>
  <c r="A64" i="37" s="1"/>
  <c r="A65" i="37" s="1"/>
  <c r="A66" i="37" s="1"/>
  <c r="A67" i="37" s="1"/>
  <c r="A68" i="37" s="1"/>
  <c r="A69" i="37" s="1"/>
  <c r="A70" i="37" s="1"/>
  <c r="A71" i="37" s="1"/>
  <c r="A72" i="37" s="1"/>
  <c r="A73" i="37" s="1"/>
  <c r="A74" i="37" s="1"/>
  <c r="A75" i="37" s="1"/>
  <c r="A76" i="37" s="1"/>
  <c r="A77" i="37" s="1"/>
  <c r="A78" i="37" s="1"/>
  <c r="A79" i="37" s="1"/>
  <c r="A80" i="37" s="1"/>
  <c r="A81" i="37" s="1"/>
  <c r="A82" i="37" s="1"/>
  <c r="A83" i="37" s="1"/>
  <c r="A84" i="37" s="1"/>
  <c r="A85" i="37" s="1"/>
  <c r="A86" i="37" s="1"/>
  <c r="A87" i="37" s="1"/>
  <c r="A88" i="37" s="1"/>
  <c r="A89" i="37" s="1"/>
  <c r="A90" i="37" s="1"/>
  <c r="A91" i="37" s="1"/>
  <c r="A92" i="37" s="1"/>
  <c r="A93" i="37" s="1"/>
  <c r="A94" i="37" s="1"/>
  <c r="A95" i="37" s="1"/>
  <c r="A96" i="37" s="1"/>
  <c r="A97" i="37" s="1"/>
  <c r="A98" i="37" s="1"/>
  <c r="A99" i="37" s="1"/>
  <c r="A100" i="37" s="1"/>
  <c r="A101" i="37" s="1"/>
  <c r="A102" i="37" s="1"/>
  <c r="A103" i="37" s="1"/>
  <c r="A104" i="37" s="1"/>
  <c r="A105" i="37" s="1"/>
  <c r="A106" i="37" s="1"/>
  <c r="A107" i="37" s="1"/>
  <c r="K17" i="37"/>
  <c r="J17" i="37"/>
  <c r="I17" i="37"/>
  <c r="D17" i="37"/>
  <c r="C17" i="37"/>
  <c r="S197" i="36"/>
  <c r="R197" i="36"/>
  <c r="Q197" i="36"/>
  <c r="O197" i="36"/>
  <c r="N197" i="36"/>
  <c r="M197" i="36"/>
  <c r="F197" i="36"/>
  <c r="E197" i="36"/>
  <c r="K195" i="36"/>
  <c r="J195" i="36"/>
  <c r="I195" i="36"/>
  <c r="D195" i="36"/>
  <c r="C195" i="36"/>
  <c r="K194" i="36"/>
  <c r="J194" i="36"/>
  <c r="I194" i="36"/>
  <c r="D194" i="36"/>
  <c r="C194" i="36"/>
  <c r="S184" i="36"/>
  <c r="R184" i="36"/>
  <c r="Q184" i="36"/>
  <c r="O184" i="36"/>
  <c r="N184" i="36"/>
  <c r="M184" i="36"/>
  <c r="F184" i="36"/>
  <c r="E184" i="36"/>
  <c r="F181" i="36"/>
  <c r="E181" i="36"/>
  <c r="K180" i="36"/>
  <c r="J180" i="36"/>
  <c r="I180" i="36"/>
  <c r="D180" i="36"/>
  <c r="C180" i="36"/>
  <c r="A180" i="36"/>
  <c r="A183" i="36" s="1"/>
  <c r="D35" i="5" s="1"/>
  <c r="S177" i="36"/>
  <c r="S183" i="36" s="1"/>
  <c r="R177" i="36"/>
  <c r="R183" i="36" s="1"/>
  <c r="Q177" i="36"/>
  <c r="Q183" i="36" s="1"/>
  <c r="O177" i="36"/>
  <c r="O183" i="36" s="1"/>
  <c r="N177" i="36"/>
  <c r="N183" i="36" s="1"/>
  <c r="M177" i="36"/>
  <c r="M183" i="36" s="1"/>
  <c r="F174" i="36"/>
  <c r="E174" i="36"/>
  <c r="F173" i="36"/>
  <c r="E173" i="36"/>
  <c r="F172" i="36"/>
  <c r="E172" i="36"/>
  <c r="F171" i="36"/>
  <c r="E171" i="36"/>
  <c r="F170" i="36"/>
  <c r="E170" i="36"/>
  <c r="F169" i="36"/>
  <c r="E169" i="36"/>
  <c r="K168" i="36"/>
  <c r="J168" i="36"/>
  <c r="I168" i="36"/>
  <c r="D168" i="36"/>
  <c r="C168" i="36"/>
  <c r="K167" i="36"/>
  <c r="J167" i="36"/>
  <c r="I167" i="36"/>
  <c r="D167" i="36"/>
  <c r="C167" i="36"/>
  <c r="K166" i="36"/>
  <c r="J166" i="36"/>
  <c r="I166" i="36"/>
  <c r="D166" i="36"/>
  <c r="C166" i="36"/>
  <c r="K165" i="36"/>
  <c r="J165" i="36"/>
  <c r="I165" i="36"/>
  <c r="D165" i="36"/>
  <c r="C165" i="36"/>
  <c r="K164" i="36"/>
  <c r="J164" i="36"/>
  <c r="I164" i="36"/>
  <c r="D164" i="36"/>
  <c r="C164" i="36"/>
  <c r="K163" i="36"/>
  <c r="J163" i="36"/>
  <c r="I163" i="36"/>
  <c r="D163" i="36"/>
  <c r="C163" i="36"/>
  <c r="K162" i="36"/>
  <c r="J162" i="36"/>
  <c r="I162" i="36"/>
  <c r="D162" i="36"/>
  <c r="C162" i="36"/>
  <c r="K161" i="36"/>
  <c r="J161" i="36"/>
  <c r="I161" i="36"/>
  <c r="D161" i="36"/>
  <c r="C161" i="36"/>
  <c r="K160" i="36"/>
  <c r="J160" i="36"/>
  <c r="I160" i="36"/>
  <c r="D160" i="36"/>
  <c r="C160" i="36"/>
  <c r="K159" i="36"/>
  <c r="J159" i="36"/>
  <c r="I159" i="36"/>
  <c r="D159" i="36"/>
  <c r="C159" i="36"/>
  <c r="K158" i="36"/>
  <c r="J158" i="36"/>
  <c r="I158" i="36"/>
  <c r="D158" i="36"/>
  <c r="C158" i="36"/>
  <c r="K157" i="36"/>
  <c r="J157" i="36"/>
  <c r="I157" i="36"/>
  <c r="D157" i="36"/>
  <c r="C157" i="36"/>
  <c r="K156" i="36"/>
  <c r="J156" i="36"/>
  <c r="I156" i="36"/>
  <c r="D156" i="36"/>
  <c r="C156" i="36"/>
  <c r="K155" i="36"/>
  <c r="J155" i="36"/>
  <c r="I155" i="36"/>
  <c r="D155" i="36"/>
  <c r="C155" i="36"/>
  <c r="K154" i="36"/>
  <c r="J154" i="36"/>
  <c r="I154" i="36"/>
  <c r="D154" i="36"/>
  <c r="C154" i="36"/>
  <c r="K153" i="36"/>
  <c r="J153" i="36"/>
  <c r="I153" i="36"/>
  <c r="D153" i="36"/>
  <c r="C153" i="36"/>
  <c r="K152" i="36"/>
  <c r="J152" i="36"/>
  <c r="I152" i="36"/>
  <c r="D152" i="36"/>
  <c r="C152" i="36"/>
  <c r="K151" i="36"/>
  <c r="J151" i="36"/>
  <c r="I151" i="36"/>
  <c r="D151" i="36"/>
  <c r="C151" i="36"/>
  <c r="K150" i="36"/>
  <c r="J150" i="36"/>
  <c r="I150" i="36"/>
  <c r="D150" i="36"/>
  <c r="C150" i="36"/>
  <c r="K149" i="36"/>
  <c r="J149" i="36"/>
  <c r="I149" i="36"/>
  <c r="D149" i="36"/>
  <c r="C149" i="36"/>
  <c r="K148" i="36"/>
  <c r="J148" i="36"/>
  <c r="I148" i="36"/>
  <c r="D148" i="36"/>
  <c r="C148" i="36"/>
  <c r="K147" i="36"/>
  <c r="J147" i="36"/>
  <c r="I147" i="36"/>
  <c r="D147" i="36"/>
  <c r="C147" i="36"/>
  <c r="K146" i="36"/>
  <c r="J146" i="36"/>
  <c r="I146" i="36"/>
  <c r="D146" i="36"/>
  <c r="C146" i="36"/>
  <c r="K145" i="36"/>
  <c r="J145" i="36"/>
  <c r="I145" i="36"/>
  <c r="D145" i="36"/>
  <c r="C145" i="36"/>
  <c r="K144" i="36"/>
  <c r="J144" i="36"/>
  <c r="I144" i="36"/>
  <c r="D144" i="36"/>
  <c r="C144" i="36"/>
  <c r="K143" i="36"/>
  <c r="J143" i="36"/>
  <c r="I143" i="36"/>
  <c r="D143" i="36"/>
  <c r="C143" i="36"/>
  <c r="K142" i="36"/>
  <c r="J142" i="36"/>
  <c r="I142" i="36"/>
  <c r="D142" i="36"/>
  <c r="C142" i="36"/>
  <c r="K141" i="36"/>
  <c r="J141" i="36"/>
  <c r="I141" i="36"/>
  <c r="D141" i="36"/>
  <c r="C141" i="36"/>
  <c r="K140" i="36"/>
  <c r="J140" i="36"/>
  <c r="I140" i="36"/>
  <c r="D140" i="36"/>
  <c r="C140" i="36"/>
  <c r="K139" i="36"/>
  <c r="J139" i="36"/>
  <c r="I139" i="36"/>
  <c r="D139" i="36"/>
  <c r="C139" i="36"/>
  <c r="K138" i="36"/>
  <c r="J138" i="36"/>
  <c r="I138" i="36"/>
  <c r="D138" i="36"/>
  <c r="C138" i="36"/>
  <c r="K137" i="36"/>
  <c r="J137" i="36"/>
  <c r="I137" i="36"/>
  <c r="D137" i="36"/>
  <c r="C137" i="36"/>
  <c r="K136" i="36"/>
  <c r="J136" i="36"/>
  <c r="I136" i="36"/>
  <c r="D136" i="36"/>
  <c r="C136" i="36"/>
  <c r="K135" i="36"/>
  <c r="J135" i="36"/>
  <c r="I135" i="36"/>
  <c r="D135" i="36"/>
  <c r="C135" i="36"/>
  <c r="K134" i="36"/>
  <c r="J134" i="36"/>
  <c r="I134" i="36"/>
  <c r="D134" i="36"/>
  <c r="C134" i="36"/>
  <c r="K133" i="36"/>
  <c r="J133" i="36"/>
  <c r="I133" i="36"/>
  <c r="D133" i="36"/>
  <c r="C133" i="36"/>
  <c r="K132" i="36"/>
  <c r="J132" i="36"/>
  <c r="I132" i="36"/>
  <c r="D132" i="36"/>
  <c r="C132" i="36"/>
  <c r="K131" i="36"/>
  <c r="J131" i="36"/>
  <c r="I131" i="36"/>
  <c r="D131" i="36"/>
  <c r="C131" i="36"/>
  <c r="K130" i="36"/>
  <c r="J130" i="36"/>
  <c r="I130" i="36"/>
  <c r="D130" i="36"/>
  <c r="C130" i="36"/>
  <c r="K129" i="36"/>
  <c r="J129" i="36"/>
  <c r="I129" i="36"/>
  <c r="D129" i="36"/>
  <c r="C129" i="36"/>
  <c r="K128" i="36"/>
  <c r="J128" i="36"/>
  <c r="I128" i="36"/>
  <c r="D128" i="36"/>
  <c r="C128" i="36"/>
  <c r="K127" i="36"/>
  <c r="J127" i="36"/>
  <c r="I127" i="36"/>
  <c r="D127" i="36"/>
  <c r="C127" i="36"/>
  <c r="K126" i="36"/>
  <c r="J126" i="36"/>
  <c r="I126" i="36"/>
  <c r="D126" i="36"/>
  <c r="C126" i="36"/>
  <c r="K125" i="36"/>
  <c r="J125" i="36"/>
  <c r="I125" i="36"/>
  <c r="D125" i="36"/>
  <c r="C125" i="36"/>
  <c r="K124" i="36"/>
  <c r="J124" i="36"/>
  <c r="I124" i="36"/>
  <c r="D124" i="36"/>
  <c r="C124" i="36"/>
  <c r="K123" i="36"/>
  <c r="J123" i="36"/>
  <c r="I123" i="36"/>
  <c r="D123" i="36"/>
  <c r="C123" i="36"/>
  <c r="K122" i="36"/>
  <c r="J122" i="36"/>
  <c r="I122" i="36"/>
  <c r="D122" i="36"/>
  <c r="C122" i="36"/>
  <c r="K121" i="36"/>
  <c r="J121" i="36"/>
  <c r="I121" i="36"/>
  <c r="D121" i="36"/>
  <c r="C121" i="36"/>
  <c r="K120" i="36"/>
  <c r="J120" i="36"/>
  <c r="I120" i="36"/>
  <c r="D120" i="36"/>
  <c r="C120" i="36"/>
  <c r="K119" i="36"/>
  <c r="J119" i="36"/>
  <c r="I119" i="36"/>
  <c r="D119" i="36"/>
  <c r="C119" i="36"/>
  <c r="K118" i="36"/>
  <c r="J118" i="36"/>
  <c r="I118" i="36"/>
  <c r="D118" i="36"/>
  <c r="C118" i="36"/>
  <c r="K117" i="36"/>
  <c r="J117" i="36"/>
  <c r="I117" i="36"/>
  <c r="D117" i="36"/>
  <c r="C117" i="36"/>
  <c r="K116" i="36"/>
  <c r="J116" i="36"/>
  <c r="I116" i="36"/>
  <c r="D116" i="36"/>
  <c r="C116" i="36"/>
  <c r="K115" i="36"/>
  <c r="J115" i="36"/>
  <c r="I115" i="36"/>
  <c r="D115" i="36"/>
  <c r="C115" i="36"/>
  <c r="K114" i="36"/>
  <c r="J114" i="36"/>
  <c r="I114" i="36"/>
  <c r="D114" i="36"/>
  <c r="C114" i="36"/>
  <c r="K113" i="36"/>
  <c r="J113" i="36"/>
  <c r="I113" i="36"/>
  <c r="D113" i="36"/>
  <c r="C113" i="36"/>
  <c r="K112" i="36"/>
  <c r="J112" i="36"/>
  <c r="I112" i="36"/>
  <c r="D112" i="36"/>
  <c r="C112" i="36"/>
  <c r="K111" i="36"/>
  <c r="J111" i="36"/>
  <c r="I111" i="36"/>
  <c r="D111" i="36"/>
  <c r="C111" i="36"/>
  <c r="K110" i="36"/>
  <c r="J110" i="36"/>
  <c r="I110" i="36"/>
  <c r="D110" i="36"/>
  <c r="C110" i="36"/>
  <c r="K109" i="36"/>
  <c r="J109" i="36"/>
  <c r="I109" i="36"/>
  <c r="D109" i="36"/>
  <c r="C109" i="36"/>
  <c r="K108" i="36"/>
  <c r="J108" i="36"/>
  <c r="I108" i="36"/>
  <c r="D108" i="36"/>
  <c r="C108" i="36"/>
  <c r="K107" i="36"/>
  <c r="J107" i="36"/>
  <c r="I107" i="36"/>
  <c r="D107" i="36"/>
  <c r="C107" i="36"/>
  <c r="K106" i="36"/>
  <c r="J106" i="36"/>
  <c r="I106" i="36"/>
  <c r="D106" i="36"/>
  <c r="C106" i="36"/>
  <c r="K105" i="36"/>
  <c r="J105" i="36"/>
  <c r="I105" i="36"/>
  <c r="D105" i="36"/>
  <c r="C105" i="36"/>
  <c r="K104" i="36"/>
  <c r="J104" i="36"/>
  <c r="I104" i="36"/>
  <c r="D104" i="36"/>
  <c r="C104" i="36"/>
  <c r="K103" i="36"/>
  <c r="J103" i="36"/>
  <c r="I103" i="36"/>
  <c r="D103" i="36"/>
  <c r="C103" i="36"/>
  <c r="K102" i="36"/>
  <c r="J102" i="36"/>
  <c r="I102" i="36"/>
  <c r="D102" i="36"/>
  <c r="C102" i="36"/>
  <c r="K101" i="36"/>
  <c r="J101" i="36"/>
  <c r="I101" i="36"/>
  <c r="D101" i="36"/>
  <c r="C101" i="36"/>
  <c r="K100" i="36"/>
  <c r="J100" i="36"/>
  <c r="I100" i="36"/>
  <c r="D100" i="36"/>
  <c r="C100" i="36"/>
  <c r="K99" i="36"/>
  <c r="J99" i="36"/>
  <c r="I99" i="36"/>
  <c r="D99" i="36"/>
  <c r="C99" i="36"/>
  <c r="K98" i="36"/>
  <c r="J98" i="36"/>
  <c r="I98" i="36"/>
  <c r="D98" i="36"/>
  <c r="C98" i="36"/>
  <c r="K97" i="36"/>
  <c r="J97" i="36"/>
  <c r="I97" i="36"/>
  <c r="D97" i="36"/>
  <c r="C97" i="36"/>
  <c r="K96" i="36"/>
  <c r="J96" i="36"/>
  <c r="I96" i="36"/>
  <c r="D96" i="36"/>
  <c r="C96" i="36"/>
  <c r="K95" i="36"/>
  <c r="J95" i="36"/>
  <c r="I95" i="36"/>
  <c r="D95" i="36"/>
  <c r="C95" i="36"/>
  <c r="K94" i="36"/>
  <c r="J94" i="36"/>
  <c r="I94" i="36"/>
  <c r="D94" i="36"/>
  <c r="C94" i="36"/>
  <c r="K93" i="36"/>
  <c r="J93" i="36"/>
  <c r="I93" i="36"/>
  <c r="D93" i="36"/>
  <c r="C93" i="36"/>
  <c r="K92" i="36"/>
  <c r="J92" i="36"/>
  <c r="I92" i="36"/>
  <c r="D92" i="36"/>
  <c r="C92" i="36"/>
  <c r="K91" i="36"/>
  <c r="J91" i="36"/>
  <c r="I91" i="36"/>
  <c r="D91" i="36"/>
  <c r="C91" i="36"/>
  <c r="K90" i="36"/>
  <c r="J90" i="36"/>
  <c r="I90" i="36"/>
  <c r="D90" i="36"/>
  <c r="C90" i="36"/>
  <c r="K89" i="36"/>
  <c r="J89" i="36"/>
  <c r="I89" i="36"/>
  <c r="D89" i="36"/>
  <c r="C89" i="36"/>
  <c r="K88" i="36"/>
  <c r="J88" i="36"/>
  <c r="I88" i="36"/>
  <c r="D88" i="36"/>
  <c r="C88" i="36"/>
  <c r="K87" i="36"/>
  <c r="J87" i="36"/>
  <c r="I87" i="36"/>
  <c r="D87" i="36"/>
  <c r="C87" i="36"/>
  <c r="K86" i="36"/>
  <c r="J86" i="36"/>
  <c r="I86" i="36"/>
  <c r="D86" i="36"/>
  <c r="C86" i="36"/>
  <c r="K85" i="36"/>
  <c r="J85" i="36"/>
  <c r="I85" i="36"/>
  <c r="D85" i="36"/>
  <c r="C85" i="36"/>
  <c r="K84" i="36"/>
  <c r="J84" i="36"/>
  <c r="I84" i="36"/>
  <c r="D84" i="36"/>
  <c r="C84" i="36"/>
  <c r="K83" i="36"/>
  <c r="J83" i="36"/>
  <c r="I83" i="36"/>
  <c r="D83" i="36"/>
  <c r="C83" i="36"/>
  <c r="K82" i="36"/>
  <c r="J82" i="36"/>
  <c r="I82" i="36"/>
  <c r="D82" i="36"/>
  <c r="C82" i="36"/>
  <c r="K81" i="36"/>
  <c r="J81" i="36"/>
  <c r="I81" i="36"/>
  <c r="D81" i="36"/>
  <c r="C81" i="36"/>
  <c r="K80" i="36"/>
  <c r="J80" i="36"/>
  <c r="I80" i="36"/>
  <c r="D80" i="36"/>
  <c r="C80" i="36"/>
  <c r="K79" i="36"/>
  <c r="J79" i="36"/>
  <c r="I79" i="36"/>
  <c r="D79" i="36"/>
  <c r="C79" i="36"/>
  <c r="K78" i="36"/>
  <c r="J78" i="36"/>
  <c r="I78" i="36"/>
  <c r="D78" i="36"/>
  <c r="C78" i="36"/>
  <c r="K77" i="36"/>
  <c r="J77" i="36"/>
  <c r="I77" i="36"/>
  <c r="D77" i="36"/>
  <c r="C77" i="36"/>
  <c r="A77" i="36"/>
  <c r="A78" i="36" s="1"/>
  <c r="A79" i="36" s="1"/>
  <c r="A80" i="36" s="1"/>
  <c r="A81" i="36" s="1"/>
  <c r="A82" i="36" s="1"/>
  <c r="A83" i="36" s="1"/>
  <c r="A84" i="36" s="1"/>
  <c r="A85" i="36" s="1"/>
  <c r="A86" i="36" s="1"/>
  <c r="A87" i="36" s="1"/>
  <c r="A88" i="36" s="1"/>
  <c r="A89" i="36" s="1"/>
  <c r="A90" i="36" s="1"/>
  <c r="A91" i="36" s="1"/>
  <c r="A92" i="36" s="1"/>
  <c r="A93" i="36" s="1"/>
  <c r="A94" i="36" s="1"/>
  <c r="A95" i="36" s="1"/>
  <c r="A96" i="36" s="1"/>
  <c r="A97" i="36" s="1"/>
  <c r="A98" i="36" s="1"/>
  <c r="A99" i="36" s="1"/>
  <c r="A100" i="36" s="1"/>
  <c r="A101" i="36" s="1"/>
  <c r="A102" i="36" s="1"/>
  <c r="A103" i="36" s="1"/>
  <c r="A104" i="36" s="1"/>
  <c r="A105" i="36" s="1"/>
  <c r="A106" i="36" s="1"/>
  <c r="A107" i="36" s="1"/>
  <c r="A108" i="36" s="1"/>
  <c r="A109" i="36" s="1"/>
  <c r="A110" i="36" s="1"/>
  <c r="A111" i="36" s="1"/>
  <c r="A112" i="36" s="1"/>
  <c r="A113" i="36" s="1"/>
  <c r="A114" i="36" s="1"/>
  <c r="A115" i="36" s="1"/>
  <c r="A116" i="36" s="1"/>
  <c r="A117" i="36" s="1"/>
  <c r="A118" i="36" s="1"/>
  <c r="A119" i="36" s="1"/>
  <c r="A120" i="36" s="1"/>
  <c r="A121" i="36" s="1"/>
  <c r="A122" i="36" s="1"/>
  <c r="A123" i="36" s="1"/>
  <c r="A124" i="36" s="1"/>
  <c r="A125" i="36" s="1"/>
  <c r="A126" i="36" s="1"/>
  <c r="A127" i="36" s="1"/>
  <c r="A128" i="36" s="1"/>
  <c r="A129" i="36" s="1"/>
  <c r="A130" i="36" s="1"/>
  <c r="A131" i="36" s="1"/>
  <c r="A132" i="36" s="1"/>
  <c r="A133" i="36" s="1"/>
  <c r="A134" i="36" s="1"/>
  <c r="A135" i="36" s="1"/>
  <c r="A136" i="36" s="1"/>
  <c r="A137" i="36" s="1"/>
  <c r="A138" i="36" s="1"/>
  <c r="A139" i="36" s="1"/>
  <c r="A140" i="36" s="1"/>
  <c r="A141" i="36" s="1"/>
  <c r="A142" i="36" s="1"/>
  <c r="A143" i="36" s="1"/>
  <c r="A144" i="36" s="1"/>
  <c r="A145" i="36" s="1"/>
  <c r="A146" i="36" s="1"/>
  <c r="A147" i="36" s="1"/>
  <c r="A148" i="36" s="1"/>
  <c r="A149" i="36" s="1"/>
  <c r="A150" i="36" s="1"/>
  <c r="A151" i="36" s="1"/>
  <c r="A152" i="36" s="1"/>
  <c r="A153" i="36" s="1"/>
  <c r="A154" i="36" s="1"/>
  <c r="A155" i="36" s="1"/>
  <c r="A156" i="36" s="1"/>
  <c r="A157" i="36" s="1"/>
  <c r="A158" i="36" s="1"/>
  <c r="A159" i="36" s="1"/>
  <c r="A160" i="36" s="1"/>
  <c r="A161" i="36" s="1"/>
  <c r="A162" i="36" s="1"/>
  <c r="A163" i="36" s="1"/>
  <c r="A164" i="36" s="1"/>
  <c r="A165" i="36" s="1"/>
  <c r="A166" i="36" s="1"/>
  <c r="A167" i="36" s="1"/>
  <c r="A168" i="36" s="1"/>
  <c r="A169" i="36" s="1"/>
  <c r="A170" i="36" s="1"/>
  <c r="A171" i="36" s="1"/>
  <c r="A172" i="36" s="1"/>
  <c r="A173" i="36" s="1"/>
  <c r="A174" i="36" s="1"/>
  <c r="K76" i="36"/>
  <c r="J76" i="36"/>
  <c r="I76" i="36"/>
  <c r="D76" i="36"/>
  <c r="C76" i="36"/>
  <c r="S72" i="36"/>
  <c r="R72" i="36"/>
  <c r="Q72" i="36"/>
  <c r="O72" i="36"/>
  <c r="N72" i="36"/>
  <c r="M72" i="36"/>
  <c r="F72" i="36"/>
  <c r="E72" i="36"/>
  <c r="A72" i="36"/>
  <c r="D26" i="5" s="1"/>
  <c r="S71" i="36"/>
  <c r="R71" i="36"/>
  <c r="Q71" i="36"/>
  <c r="O71" i="36"/>
  <c r="N71" i="36"/>
  <c r="M71" i="36"/>
  <c r="F68" i="36"/>
  <c r="E68" i="36"/>
  <c r="F67" i="36"/>
  <c r="E67" i="36"/>
  <c r="F66" i="36"/>
  <c r="E66" i="36"/>
  <c r="K65" i="36"/>
  <c r="J65" i="36"/>
  <c r="I65" i="36"/>
  <c r="D65" i="36"/>
  <c r="C65" i="36"/>
  <c r="K64" i="36"/>
  <c r="J64" i="36"/>
  <c r="I64" i="36"/>
  <c r="D64" i="36"/>
  <c r="C64" i="36"/>
  <c r="K63" i="36"/>
  <c r="J63" i="36"/>
  <c r="I63" i="36"/>
  <c r="D63" i="36"/>
  <c r="C63" i="36"/>
  <c r="K62" i="36"/>
  <c r="J62" i="36"/>
  <c r="I62" i="36"/>
  <c r="D62" i="36"/>
  <c r="C62" i="36"/>
  <c r="K61" i="36"/>
  <c r="J61" i="36"/>
  <c r="I61" i="36"/>
  <c r="D61" i="36"/>
  <c r="C61" i="36"/>
  <c r="K60" i="36"/>
  <c r="J60" i="36"/>
  <c r="I60" i="36"/>
  <c r="D60" i="36"/>
  <c r="C60" i="36"/>
  <c r="K59" i="36"/>
  <c r="J59" i="36"/>
  <c r="I59" i="36"/>
  <c r="D59" i="36"/>
  <c r="C59" i="36"/>
  <c r="K58" i="36"/>
  <c r="J58" i="36"/>
  <c r="I58" i="36"/>
  <c r="D58" i="36"/>
  <c r="C58" i="36"/>
  <c r="K57" i="36"/>
  <c r="J57" i="36"/>
  <c r="I57" i="36"/>
  <c r="D57" i="36"/>
  <c r="C57" i="36"/>
  <c r="K56" i="36"/>
  <c r="J56" i="36"/>
  <c r="I56" i="36"/>
  <c r="D56" i="36"/>
  <c r="C56" i="36"/>
  <c r="K55" i="36"/>
  <c r="J55" i="36"/>
  <c r="I55" i="36"/>
  <c r="D55" i="36"/>
  <c r="C55" i="36"/>
  <c r="K54" i="36"/>
  <c r="J54" i="36"/>
  <c r="I54" i="36"/>
  <c r="D54" i="36"/>
  <c r="C54" i="36"/>
  <c r="K53" i="36"/>
  <c r="J53" i="36"/>
  <c r="I53" i="36"/>
  <c r="D53" i="36"/>
  <c r="C53" i="36"/>
  <c r="K52" i="36"/>
  <c r="J52" i="36"/>
  <c r="I52" i="36"/>
  <c r="D52" i="36"/>
  <c r="C52" i="36"/>
  <c r="K51" i="36"/>
  <c r="J51" i="36"/>
  <c r="I51" i="36"/>
  <c r="D51" i="36"/>
  <c r="C51" i="36"/>
  <c r="K50" i="36"/>
  <c r="J50" i="36"/>
  <c r="I50" i="36"/>
  <c r="D50" i="36"/>
  <c r="C50" i="36"/>
  <c r="K49" i="36"/>
  <c r="J49" i="36"/>
  <c r="I49" i="36"/>
  <c r="D49" i="36"/>
  <c r="C49" i="36"/>
  <c r="K48" i="36"/>
  <c r="J48" i="36"/>
  <c r="I48" i="36"/>
  <c r="D48" i="36"/>
  <c r="C48" i="36"/>
  <c r="K47" i="36"/>
  <c r="J47" i="36"/>
  <c r="I47" i="36"/>
  <c r="D47" i="36"/>
  <c r="C47" i="36"/>
  <c r="K46" i="36"/>
  <c r="J46" i="36"/>
  <c r="I46" i="36"/>
  <c r="D46" i="36"/>
  <c r="C46" i="36"/>
  <c r="K45" i="36"/>
  <c r="J45" i="36"/>
  <c r="I45" i="36"/>
  <c r="D45" i="36"/>
  <c r="C45" i="36"/>
  <c r="K44" i="36"/>
  <c r="J44" i="36"/>
  <c r="I44" i="36"/>
  <c r="D44" i="36"/>
  <c r="C44" i="36"/>
  <c r="K43" i="36"/>
  <c r="J43" i="36"/>
  <c r="I43" i="36"/>
  <c r="D43" i="36"/>
  <c r="C43" i="36"/>
  <c r="K42" i="36"/>
  <c r="J42" i="36"/>
  <c r="I42" i="36"/>
  <c r="D42" i="36"/>
  <c r="C42" i="36"/>
  <c r="K41" i="36"/>
  <c r="J41" i="36"/>
  <c r="I41" i="36"/>
  <c r="D41" i="36"/>
  <c r="C41" i="36"/>
  <c r="K40" i="36"/>
  <c r="J40" i="36"/>
  <c r="I40" i="36"/>
  <c r="D40" i="36"/>
  <c r="C40" i="36"/>
  <c r="K39" i="36"/>
  <c r="J39" i="36"/>
  <c r="I39" i="36"/>
  <c r="D39" i="36"/>
  <c r="C39" i="36"/>
  <c r="K38" i="36"/>
  <c r="J38" i="36"/>
  <c r="I38" i="36"/>
  <c r="D38" i="36"/>
  <c r="C38" i="36"/>
  <c r="K37" i="36"/>
  <c r="J37" i="36"/>
  <c r="I37" i="36"/>
  <c r="D37" i="36"/>
  <c r="C37" i="36"/>
  <c r="K36" i="36"/>
  <c r="J36" i="36"/>
  <c r="I36" i="36"/>
  <c r="D36" i="36"/>
  <c r="C36" i="36"/>
  <c r="K35" i="36"/>
  <c r="J35" i="36"/>
  <c r="I35" i="36"/>
  <c r="D35" i="36"/>
  <c r="C35" i="36"/>
  <c r="K34" i="36"/>
  <c r="J34" i="36"/>
  <c r="I34" i="36"/>
  <c r="D34" i="36"/>
  <c r="C34" i="36"/>
  <c r="K33" i="36"/>
  <c r="J33" i="36"/>
  <c r="I33" i="36"/>
  <c r="D33" i="36"/>
  <c r="C33" i="36"/>
  <c r="K32" i="36"/>
  <c r="J32" i="36"/>
  <c r="I32" i="36"/>
  <c r="D32" i="36"/>
  <c r="C32" i="36"/>
  <c r="K31" i="36"/>
  <c r="J31" i="36"/>
  <c r="I31" i="36"/>
  <c r="D31" i="36"/>
  <c r="C31" i="36"/>
  <c r="K30" i="36"/>
  <c r="J30" i="36"/>
  <c r="I30" i="36"/>
  <c r="D30" i="36"/>
  <c r="C30" i="36"/>
  <c r="K29" i="36"/>
  <c r="J29" i="36"/>
  <c r="I29" i="36"/>
  <c r="D29" i="36"/>
  <c r="C29" i="36"/>
  <c r="A29" i="36"/>
  <c r="A30" i="36" s="1"/>
  <c r="A31" i="36" s="1"/>
  <c r="A32" i="36" s="1"/>
  <c r="A33" i="36" s="1"/>
  <c r="A34" i="36" s="1"/>
  <c r="A35" i="36" s="1"/>
  <c r="A36" i="36" s="1"/>
  <c r="A37" i="36" s="1"/>
  <c r="A38" i="36" s="1"/>
  <c r="A39" i="36" s="1"/>
  <c r="A40" i="36" s="1"/>
  <c r="A41" i="36" s="1"/>
  <c r="A42" i="36" s="1"/>
  <c r="A43" i="36" s="1"/>
  <c r="A44" i="36" s="1"/>
  <c r="A45" i="36" s="1"/>
  <c r="A46" i="36" s="1"/>
  <c r="A47" i="36" s="1"/>
  <c r="A48" i="36" s="1"/>
  <c r="A49" i="36" s="1"/>
  <c r="A50" i="36" s="1"/>
  <c r="A51" i="36" s="1"/>
  <c r="A52" i="36" s="1"/>
  <c r="A53" i="36" s="1"/>
  <c r="A54" i="36" s="1"/>
  <c r="A55" i="36" s="1"/>
  <c r="A56" i="36" s="1"/>
  <c r="A57" i="36" s="1"/>
  <c r="A58" i="36" s="1"/>
  <c r="A59" i="36" s="1"/>
  <c r="A60" i="36" s="1"/>
  <c r="A61" i="36" s="1"/>
  <c r="A62" i="36" s="1"/>
  <c r="A63" i="36" s="1"/>
  <c r="A64" i="36" s="1"/>
  <c r="A65" i="36" s="1"/>
  <c r="A66" i="36" s="1"/>
  <c r="A67" i="36" s="1"/>
  <c r="A68" i="36" s="1"/>
  <c r="K28" i="36"/>
  <c r="J28" i="36"/>
  <c r="I28" i="36"/>
  <c r="D28" i="36"/>
  <c r="C28" i="36"/>
  <c r="A24" i="36"/>
  <c r="D18" i="5" s="1"/>
  <c r="S23" i="36"/>
  <c r="R23" i="36"/>
  <c r="Q23" i="36"/>
  <c r="O23" i="36"/>
  <c r="N23" i="36"/>
  <c r="M23" i="36"/>
  <c r="F21" i="36"/>
  <c r="E21" i="36"/>
  <c r="F20" i="36"/>
  <c r="E20" i="36"/>
  <c r="F19" i="36"/>
  <c r="E19" i="36"/>
  <c r="K17" i="36"/>
  <c r="K23" i="36" s="1"/>
  <c r="J17" i="36"/>
  <c r="J23" i="36" s="1"/>
  <c r="I17" i="36"/>
  <c r="I23" i="36" s="1"/>
  <c r="D17" i="36"/>
  <c r="D23" i="36" s="1"/>
  <c r="C17" i="36"/>
  <c r="B21" i="7"/>
  <c r="B11" i="7"/>
  <c r="G10" i="5"/>
  <c r="E10" i="5"/>
  <c r="O8" i="13"/>
  <c r="C9" i="7"/>
  <c r="D12" i="9"/>
  <c r="E17" i="2"/>
  <c r="E41" i="9"/>
  <c r="A91" i="34"/>
  <c r="M54" i="11"/>
  <c r="I12" i="6"/>
  <c r="G12" i="6"/>
  <c r="I10" i="5"/>
  <c r="O159" i="13"/>
  <c r="M159" i="13"/>
  <c r="O158" i="13"/>
  <c r="M158" i="13"/>
  <c r="O157" i="13"/>
  <c r="M157" i="13"/>
  <c r="O156" i="13"/>
  <c r="M156" i="13"/>
  <c r="O155" i="13"/>
  <c r="M155" i="13"/>
  <c r="O154" i="13"/>
  <c r="M154" i="13"/>
  <c r="O153" i="13"/>
  <c r="M153" i="13"/>
  <c r="O152" i="13"/>
  <c r="M152" i="13"/>
  <c r="O151" i="13"/>
  <c r="M151" i="13"/>
  <c r="O150" i="13"/>
  <c r="M150" i="13"/>
  <c r="O149" i="13"/>
  <c r="M149" i="13"/>
  <c r="O148" i="13"/>
  <c r="M148" i="13"/>
  <c r="O147" i="13"/>
  <c r="M147" i="13"/>
  <c r="O146" i="13"/>
  <c r="M146" i="13"/>
  <c r="O145" i="13"/>
  <c r="M145" i="13"/>
  <c r="O144" i="13"/>
  <c r="M144" i="13"/>
  <c r="O143" i="13"/>
  <c r="M143" i="13"/>
  <c r="O142" i="13"/>
  <c r="M142" i="13"/>
  <c r="O141" i="13"/>
  <c r="M141" i="13"/>
  <c r="O140" i="13"/>
  <c r="M140" i="13"/>
  <c r="O139" i="13"/>
  <c r="M139" i="13"/>
  <c r="O138" i="13"/>
  <c r="M138" i="13"/>
  <c r="O137" i="13"/>
  <c r="M137" i="13"/>
  <c r="O136" i="13"/>
  <c r="M136" i="13"/>
  <c r="O135" i="13"/>
  <c r="M135" i="13"/>
  <c r="O134" i="13"/>
  <c r="M134" i="13"/>
  <c r="O133" i="13"/>
  <c r="M133" i="13"/>
  <c r="O132" i="13"/>
  <c r="M132" i="13"/>
  <c r="O131" i="13"/>
  <c r="M131" i="13"/>
  <c r="O130" i="13"/>
  <c r="M130" i="13"/>
  <c r="O129" i="13"/>
  <c r="M129" i="13"/>
  <c r="O128" i="13"/>
  <c r="M128" i="13"/>
  <c r="O127" i="13"/>
  <c r="M127" i="13"/>
  <c r="O126" i="13"/>
  <c r="M126" i="13"/>
  <c r="O125" i="13"/>
  <c r="M125" i="13"/>
  <c r="O124" i="13"/>
  <c r="M124" i="13"/>
  <c r="O123" i="13"/>
  <c r="M123" i="13"/>
  <c r="O122" i="13"/>
  <c r="M122" i="13"/>
  <c r="O121" i="13"/>
  <c r="M121" i="13"/>
  <c r="O120" i="13"/>
  <c r="M120" i="13"/>
  <c r="O119" i="13"/>
  <c r="M119" i="13"/>
  <c r="O118" i="13"/>
  <c r="M118" i="13"/>
  <c r="O117" i="13"/>
  <c r="M117" i="13"/>
  <c r="O116" i="13"/>
  <c r="M116" i="13"/>
  <c r="O115" i="13"/>
  <c r="M115" i="13"/>
  <c r="O114" i="13"/>
  <c r="M114" i="13"/>
  <c r="O113" i="13"/>
  <c r="M113" i="13"/>
  <c r="O112" i="13"/>
  <c r="M112" i="13"/>
  <c r="O111" i="13"/>
  <c r="M111" i="13"/>
  <c r="O110" i="13"/>
  <c r="M110" i="13"/>
  <c r="O109" i="13"/>
  <c r="M109" i="13"/>
  <c r="O108" i="13"/>
  <c r="M108" i="13"/>
  <c r="O107" i="13"/>
  <c r="M107" i="13"/>
  <c r="O106" i="13"/>
  <c r="M106" i="13"/>
  <c r="O105" i="13"/>
  <c r="M105" i="13"/>
  <c r="O104" i="13"/>
  <c r="M104" i="13"/>
  <c r="O103" i="13"/>
  <c r="M103" i="13"/>
  <c r="O102" i="13"/>
  <c r="M102"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D100" i="13"/>
  <c r="C100" i="13"/>
  <c r="L95" i="13"/>
  <c r="J94" i="13"/>
  <c r="D101" i="20"/>
  <c r="C101" i="20"/>
  <c r="C102" i="20" s="1"/>
  <c r="C103" i="20" s="1"/>
  <c r="C104" i="20" s="1"/>
  <c r="C105" i="20" s="1"/>
  <c r="C106" i="20" s="1"/>
  <c r="C107" i="20" s="1"/>
  <c r="C108" i="20" s="1"/>
  <c r="C109" i="20" s="1"/>
  <c r="C110" i="20" s="1"/>
  <c r="C111" i="20" s="1"/>
  <c r="C112" i="20" s="1"/>
  <c r="C113" i="20" s="1"/>
  <c r="C114" i="20" s="1"/>
  <c r="C115" i="20" s="1"/>
  <c r="C116" i="20" s="1"/>
  <c r="C117" i="20" s="1"/>
  <c r="C118" i="20" s="1"/>
  <c r="C119" i="20" s="1"/>
  <c r="C120" i="20" s="1"/>
  <c r="C121" i="20" s="1"/>
  <c r="C122" i="20" s="1"/>
  <c r="C123" i="20" s="1"/>
  <c r="C124" i="20" s="1"/>
  <c r="C125" i="20" s="1"/>
  <c r="C126" i="20" s="1"/>
  <c r="C127" i="20" s="1"/>
  <c r="C128" i="20" s="1"/>
  <c r="C129" i="20" s="1"/>
  <c r="C130" i="20" s="1"/>
  <c r="C131" i="20" s="1"/>
  <c r="C132" i="20" s="1"/>
  <c r="C133" i="20" s="1"/>
  <c r="C134" i="20" s="1"/>
  <c r="C135" i="20" s="1"/>
  <c r="C136" i="20" s="1"/>
  <c r="C137" i="20" s="1"/>
  <c r="C138" i="20" s="1"/>
  <c r="C139" i="20" s="1"/>
  <c r="C140" i="20" s="1"/>
  <c r="C141" i="20" s="1"/>
  <c r="C142" i="20" s="1"/>
  <c r="C143" i="20" s="1"/>
  <c r="C144" i="20" s="1"/>
  <c r="C145" i="20" s="1"/>
  <c r="C146" i="20" s="1"/>
  <c r="C147" i="20" s="1"/>
  <c r="C148" i="20" s="1"/>
  <c r="C149" i="20" s="1"/>
  <c r="C150" i="20" s="1"/>
  <c r="C151" i="20" s="1"/>
  <c r="C152" i="20" s="1"/>
  <c r="C153" i="20" s="1"/>
  <c r="C154" i="20" s="1"/>
  <c r="C155" i="20" s="1"/>
  <c r="C156" i="20" s="1"/>
  <c r="C157" i="20" s="1"/>
  <c r="C158" i="20" s="1"/>
  <c r="C159" i="20" s="1"/>
  <c r="C160" i="20" s="1"/>
  <c r="K96" i="20"/>
  <c r="I95" i="20"/>
  <c r="D313" i="2"/>
  <c r="M23" i="13"/>
  <c r="C60" i="20"/>
  <c r="A4" i="34"/>
  <c r="C47" i="13"/>
  <c r="C47" i="20"/>
  <c r="D62" i="6"/>
  <c r="B60" i="6" s="1"/>
  <c r="D38" i="6"/>
  <c r="B36" i="6" s="1"/>
  <c r="C31" i="6"/>
  <c r="C32" i="6"/>
  <c r="A4" i="21"/>
  <c r="B4" i="14"/>
  <c r="A4" i="13"/>
  <c r="A4" i="20"/>
  <c r="F16" i="13"/>
  <c r="F18" i="13" s="1"/>
  <c r="E23" i="13" s="1"/>
  <c r="F16" i="20"/>
  <c r="F18" i="20" s="1"/>
  <c r="E23" i="20" s="1"/>
  <c r="A4" i="12"/>
  <c r="A4" i="31"/>
  <c r="A4" i="11"/>
  <c r="A4" i="10"/>
  <c r="A4" i="9"/>
  <c r="A4" i="8"/>
  <c r="A4" i="7"/>
  <c r="A4" i="6"/>
  <c r="E12" i="6"/>
  <c r="A4" i="5"/>
  <c r="J157" i="2"/>
  <c r="L157" i="2" s="1"/>
  <c r="F7" i="2"/>
  <c r="F53" i="2" s="1"/>
  <c r="F123" i="2" s="1"/>
  <c r="F204" i="2" s="1"/>
  <c r="F275" i="2" s="1"/>
  <c r="C112" i="34"/>
  <c r="J24" i="34"/>
  <c r="E198" i="34"/>
  <c r="E186" i="34"/>
  <c r="G81" i="6"/>
  <c r="G32" i="6" s="1"/>
  <c r="H229" i="2"/>
  <c r="G51" i="5"/>
  <c r="A17" i="11"/>
  <c r="A19" i="11" s="1"/>
  <c r="A20" i="11" s="1"/>
  <c r="A21" i="11" s="1"/>
  <c r="A22" i="11" s="1"/>
  <c r="A23" i="11" s="1"/>
  <c r="A25" i="11" s="1"/>
  <c r="A26" i="11" s="1"/>
  <c r="A27" i="11" s="1"/>
  <c r="A28" i="11" s="1"/>
  <c r="A30" i="11" s="1"/>
  <c r="A31" i="11" s="1"/>
  <c r="A33" i="11" s="1"/>
  <c r="A34" i="11" s="1"/>
  <c r="A35" i="11" s="1"/>
  <c r="A36" i="11" s="1"/>
  <c r="A37" i="11" s="1"/>
  <c r="A38" i="11" s="1"/>
  <c r="A39" i="11" s="1"/>
  <c r="A40" i="11" s="1"/>
  <c r="A41" i="11" s="1"/>
  <c r="A43" i="11" s="1"/>
  <c r="E51" i="11"/>
  <c r="E61" i="11" s="1"/>
  <c r="E63" i="11" s="1"/>
  <c r="E65" i="11" s="1"/>
  <c r="I51" i="11"/>
  <c r="I61" i="11" s="1"/>
  <c r="I63" i="11" s="1"/>
  <c r="I65" i="11" s="1"/>
  <c r="E66" i="11"/>
  <c r="E56" i="11"/>
  <c r="I66" i="11"/>
  <c r="I56" i="11"/>
  <c r="C50" i="11"/>
  <c r="M41" i="11"/>
  <c r="C31" i="34"/>
  <c r="C32" i="34" s="1"/>
  <c r="C37" i="34"/>
  <c r="C38" i="34" s="1"/>
  <c r="C43" i="34"/>
  <c r="C44" i="34" s="1"/>
  <c r="C49" i="34"/>
  <c r="E31" i="34"/>
  <c r="E32" i="34" s="1"/>
  <c r="E37" i="34"/>
  <c r="E38" i="34" s="1"/>
  <c r="E43" i="34"/>
  <c r="E44" i="34" s="1"/>
  <c r="E49" i="34"/>
  <c r="E50" i="34" s="1"/>
  <c r="F31" i="34"/>
  <c r="F32" i="34" s="1"/>
  <c r="F37" i="34"/>
  <c r="F38" i="34" s="1"/>
  <c r="F43" i="34"/>
  <c r="F49" i="34"/>
  <c r="F50" i="34" s="1"/>
  <c r="G31" i="34"/>
  <c r="G32" i="34" s="1"/>
  <c r="G37" i="34"/>
  <c r="G43" i="34"/>
  <c r="G44" i="34" s="1"/>
  <c r="G49" i="34"/>
  <c r="G50" i="34" s="1"/>
  <c r="H31" i="34"/>
  <c r="H37" i="34"/>
  <c r="H38" i="34" s="1"/>
  <c r="H43" i="34"/>
  <c r="H49" i="34"/>
  <c r="H50" i="34" s="1"/>
  <c r="I31" i="34"/>
  <c r="I37" i="34"/>
  <c r="I38" i="34" s="1"/>
  <c r="I43" i="34"/>
  <c r="I44" i="34" s="1"/>
  <c r="I49" i="34"/>
  <c r="I50" i="34" s="1"/>
  <c r="F11" i="10"/>
  <c r="F15" i="10"/>
  <c r="F19" i="10"/>
  <c r="F23" i="10"/>
  <c r="F27" i="10"/>
  <c r="C14" i="34"/>
  <c r="C63" i="34" s="1"/>
  <c r="J10" i="34"/>
  <c r="J9" i="34"/>
  <c r="J11" i="34"/>
  <c r="J13" i="34"/>
  <c r="J56" i="34"/>
  <c r="J58" i="34"/>
  <c r="J59" i="34"/>
  <c r="F14" i="34"/>
  <c r="F63" i="34" s="1"/>
  <c r="G14" i="34"/>
  <c r="G63" i="34" s="1"/>
  <c r="H14" i="34"/>
  <c r="H63" i="34" s="1"/>
  <c r="I14" i="34"/>
  <c r="J19" i="34"/>
  <c r="J20" i="34"/>
  <c r="J21" i="34"/>
  <c r="J22" i="34"/>
  <c r="J23" i="34"/>
  <c r="D21" i="9"/>
  <c r="G139" i="2" s="1"/>
  <c r="F233" i="2"/>
  <c r="G57" i="6"/>
  <c r="G31" i="6" s="1"/>
  <c r="C21" i="7"/>
  <c r="O17" i="21"/>
  <c r="O22" i="21"/>
  <c r="O27" i="21"/>
  <c r="A10" i="34"/>
  <c r="A11" i="34" s="1"/>
  <c r="A12" i="34" s="1"/>
  <c r="A13" i="34" s="1"/>
  <c r="A14" i="34" s="1"/>
  <c r="A19" i="9"/>
  <c r="A20" i="9" s="1"/>
  <c r="A21" i="9" s="1"/>
  <c r="F118" i="34"/>
  <c r="F124" i="34"/>
  <c r="F125" i="34" s="1"/>
  <c r="F130" i="34"/>
  <c r="F131" i="34" s="1"/>
  <c r="F136" i="34"/>
  <c r="F137" i="34" s="1"/>
  <c r="F183" i="34"/>
  <c r="F184" i="34"/>
  <c r="F185" i="34"/>
  <c r="F186" i="34"/>
  <c r="F187" i="34"/>
  <c r="F206" i="34"/>
  <c r="F208" i="34"/>
  <c r="F209" i="34"/>
  <c r="F193" i="34"/>
  <c r="F194" i="34"/>
  <c r="F195" i="34"/>
  <c r="F196" i="34"/>
  <c r="F197" i="34"/>
  <c r="F198" i="34"/>
  <c r="E118" i="34"/>
  <c r="E119" i="34" s="1"/>
  <c r="E124" i="34"/>
  <c r="E125" i="34" s="1"/>
  <c r="E130" i="34"/>
  <c r="E131" i="34" s="1"/>
  <c r="E136" i="34"/>
  <c r="E137" i="34" s="1"/>
  <c r="G118" i="34"/>
  <c r="G119" i="34" s="1"/>
  <c r="G124" i="34"/>
  <c r="G130" i="34"/>
  <c r="G131" i="34" s="1"/>
  <c r="G136" i="34"/>
  <c r="G137" i="34" s="1"/>
  <c r="H118" i="34"/>
  <c r="H119" i="34" s="1"/>
  <c r="H124" i="34"/>
  <c r="H125" i="34" s="1"/>
  <c r="H130" i="34"/>
  <c r="H131" i="34" s="1"/>
  <c r="H136" i="34"/>
  <c r="H137" i="34" s="1"/>
  <c r="I118" i="34"/>
  <c r="I119" i="34" s="1"/>
  <c r="I124" i="34"/>
  <c r="I130" i="34"/>
  <c r="I131" i="34" s="1"/>
  <c r="I136" i="34"/>
  <c r="C118" i="34"/>
  <c r="C119" i="34" s="1"/>
  <c r="C124" i="34"/>
  <c r="C125" i="34" s="1"/>
  <c r="C130" i="34"/>
  <c r="C136" i="34"/>
  <c r="C137" i="34" s="1"/>
  <c r="A201" i="34"/>
  <c r="E194" i="34"/>
  <c r="G194" i="34"/>
  <c r="H194" i="34"/>
  <c r="I194" i="34"/>
  <c r="E195" i="34"/>
  <c r="G195" i="34"/>
  <c r="H195" i="34"/>
  <c r="I195" i="34"/>
  <c r="E196" i="34"/>
  <c r="G196" i="34"/>
  <c r="H196" i="34"/>
  <c r="I196" i="34"/>
  <c r="E197" i="34"/>
  <c r="G197" i="34"/>
  <c r="H197" i="34"/>
  <c r="I197" i="34"/>
  <c r="G198" i="34"/>
  <c r="H198" i="34"/>
  <c r="I198" i="34"/>
  <c r="E193" i="34"/>
  <c r="G193" i="34"/>
  <c r="H193" i="34"/>
  <c r="I193" i="34"/>
  <c r="C197" i="34"/>
  <c r="C195" i="34"/>
  <c r="C196" i="34"/>
  <c r="C194" i="34"/>
  <c r="C193" i="34"/>
  <c r="B199" i="34"/>
  <c r="B196" i="34"/>
  <c r="B197" i="34"/>
  <c r="B198" i="34"/>
  <c r="B194" i="34"/>
  <c r="B195" i="34"/>
  <c r="A192" i="34"/>
  <c r="B193" i="34"/>
  <c r="A13" i="10"/>
  <c r="A17" i="10" s="1"/>
  <c r="A21" i="10" s="1"/>
  <c r="A25" i="10" s="1"/>
  <c r="C183" i="34"/>
  <c r="E183" i="34"/>
  <c r="G183" i="34"/>
  <c r="H183" i="34"/>
  <c r="I183" i="34"/>
  <c r="C184" i="34"/>
  <c r="J184" i="34" s="1"/>
  <c r="E184" i="34"/>
  <c r="G184" i="34"/>
  <c r="H184" i="34"/>
  <c r="I184" i="34"/>
  <c r="C185" i="34"/>
  <c r="J185" i="34" s="1"/>
  <c r="E185" i="34"/>
  <c r="G185" i="34"/>
  <c r="H185" i="34"/>
  <c r="I185" i="34"/>
  <c r="C186" i="34"/>
  <c r="J186" i="34" s="1"/>
  <c r="G186" i="34"/>
  <c r="H186" i="34"/>
  <c r="I186" i="34"/>
  <c r="C187" i="34"/>
  <c r="J187" i="34" s="1"/>
  <c r="E187" i="34"/>
  <c r="G187" i="34"/>
  <c r="H187" i="34"/>
  <c r="I187" i="34"/>
  <c r="C206" i="34"/>
  <c r="J206" i="34" s="1"/>
  <c r="L260" i="2" s="1"/>
  <c r="E206" i="34"/>
  <c r="G206" i="34"/>
  <c r="H206" i="34"/>
  <c r="I206" i="34"/>
  <c r="C208" i="34"/>
  <c r="J208" i="34" s="1"/>
  <c r="L262" i="2" s="1"/>
  <c r="E208" i="34"/>
  <c r="G208" i="34"/>
  <c r="H208" i="34"/>
  <c r="I208" i="34"/>
  <c r="C209" i="34"/>
  <c r="J209" i="34" s="1"/>
  <c r="L263" i="2" s="1"/>
  <c r="E209" i="34"/>
  <c r="G209" i="34"/>
  <c r="H209" i="34"/>
  <c r="I209" i="34"/>
  <c r="J96" i="34"/>
  <c r="J97" i="34"/>
  <c r="J98" i="34"/>
  <c r="J99" i="34"/>
  <c r="J100" i="34"/>
  <c r="J143" i="34"/>
  <c r="J145" i="34"/>
  <c r="J146" i="34"/>
  <c r="A6" i="12"/>
  <c r="F25" i="34"/>
  <c r="G25" i="34"/>
  <c r="H25" i="34"/>
  <c r="I25" i="34"/>
  <c r="C101" i="34"/>
  <c r="C150" i="34" s="1"/>
  <c r="E101" i="34"/>
  <c r="F101" i="34"/>
  <c r="F150" i="34" s="1"/>
  <c r="G101" i="34"/>
  <c r="G150" i="34" s="1"/>
  <c r="H101" i="34"/>
  <c r="H150" i="34" s="1"/>
  <c r="I101" i="34"/>
  <c r="I150" i="34" s="1"/>
  <c r="J106" i="34"/>
  <c r="J107" i="34"/>
  <c r="J108" i="34"/>
  <c r="J109" i="34"/>
  <c r="J110" i="34"/>
  <c r="J111" i="34"/>
  <c r="E112" i="34"/>
  <c r="F112" i="34"/>
  <c r="G112" i="34"/>
  <c r="H112" i="34"/>
  <c r="I112" i="34"/>
  <c r="O3" i="21"/>
  <c r="N3" i="21"/>
  <c r="M3" i="21"/>
  <c r="L3" i="21"/>
  <c r="K3" i="21"/>
  <c r="J3" i="21"/>
  <c r="I3" i="21"/>
  <c r="H3" i="21"/>
  <c r="G3" i="21"/>
  <c r="F3" i="21"/>
  <c r="E3" i="21"/>
  <c r="D3" i="21"/>
  <c r="C3" i="21"/>
  <c r="B3" i="21"/>
  <c r="A3" i="21"/>
  <c r="E3" i="14"/>
  <c r="D3" i="14"/>
  <c r="C3" i="14"/>
  <c r="B3" i="14"/>
  <c r="P3" i="13"/>
  <c r="O3" i="13"/>
  <c r="N3" i="13"/>
  <c r="M3" i="13"/>
  <c r="L3" i="13"/>
  <c r="K3" i="13"/>
  <c r="J3" i="13"/>
  <c r="I3" i="13"/>
  <c r="H3" i="13"/>
  <c r="G3" i="13"/>
  <c r="F3" i="13"/>
  <c r="E3" i="13"/>
  <c r="D3" i="13"/>
  <c r="C3" i="13"/>
  <c r="B3" i="13"/>
  <c r="A3" i="13"/>
  <c r="O3" i="20"/>
  <c r="N3" i="20"/>
  <c r="M3" i="20"/>
  <c r="L3" i="20"/>
  <c r="K3" i="20"/>
  <c r="J3" i="20"/>
  <c r="I3" i="20"/>
  <c r="H3" i="20"/>
  <c r="G3" i="20"/>
  <c r="F3" i="20"/>
  <c r="E3" i="20"/>
  <c r="D3" i="20"/>
  <c r="C3" i="20"/>
  <c r="B3" i="20"/>
  <c r="A3" i="20"/>
  <c r="J3" i="12"/>
  <c r="I3" i="12"/>
  <c r="H3" i="12"/>
  <c r="G3" i="12"/>
  <c r="F3" i="12"/>
  <c r="E3" i="12"/>
  <c r="D3" i="12"/>
  <c r="C3" i="12"/>
  <c r="B3" i="12"/>
  <c r="A3" i="12"/>
  <c r="E3" i="31"/>
  <c r="D3" i="31"/>
  <c r="C3" i="31"/>
  <c r="B3" i="31"/>
  <c r="A3" i="31"/>
  <c r="M3" i="11"/>
  <c r="L3" i="11"/>
  <c r="K3" i="11"/>
  <c r="J3" i="11"/>
  <c r="I3" i="11"/>
  <c r="H3" i="11"/>
  <c r="G3" i="11"/>
  <c r="F3" i="11"/>
  <c r="E3" i="11"/>
  <c r="D3" i="11"/>
  <c r="C3" i="11"/>
  <c r="B3" i="11"/>
  <c r="A3" i="11"/>
  <c r="H3" i="10"/>
  <c r="G3" i="10"/>
  <c r="F3" i="10"/>
  <c r="E3" i="10"/>
  <c r="D3" i="10"/>
  <c r="C3" i="10"/>
  <c r="B3" i="10"/>
  <c r="A3" i="10"/>
  <c r="G3" i="9"/>
  <c r="F3" i="9"/>
  <c r="E3" i="9"/>
  <c r="D3" i="9"/>
  <c r="C3" i="9"/>
  <c r="B3" i="9"/>
  <c r="A3" i="9"/>
  <c r="K3" i="8"/>
  <c r="J3" i="8"/>
  <c r="I3" i="8"/>
  <c r="H3" i="8"/>
  <c r="G3" i="8"/>
  <c r="F3" i="8"/>
  <c r="E3" i="8"/>
  <c r="D3" i="8"/>
  <c r="C3" i="8"/>
  <c r="B3" i="8"/>
  <c r="A3" i="8"/>
  <c r="E3" i="7"/>
  <c r="D3" i="7"/>
  <c r="C3" i="7"/>
  <c r="B3" i="7"/>
  <c r="A3" i="7"/>
  <c r="L3" i="6"/>
  <c r="K3" i="6"/>
  <c r="J3" i="6"/>
  <c r="I3" i="6"/>
  <c r="H3" i="6"/>
  <c r="G3" i="6"/>
  <c r="F3" i="6"/>
  <c r="E3" i="6"/>
  <c r="D3" i="6"/>
  <c r="C3" i="6"/>
  <c r="B3" i="6"/>
  <c r="A3" i="6"/>
  <c r="I3" i="5"/>
  <c r="H3" i="5"/>
  <c r="G3" i="5"/>
  <c r="F3" i="5"/>
  <c r="E3" i="5"/>
  <c r="D3" i="5"/>
  <c r="C3" i="5"/>
  <c r="B3" i="5"/>
  <c r="A3" i="5"/>
  <c r="I21" i="6"/>
  <c r="G108" i="2" s="1"/>
  <c r="I23" i="6"/>
  <c r="G109" i="2" s="1"/>
  <c r="G193" i="2"/>
  <c r="L193" i="2" s="1"/>
  <c r="A14" i="31"/>
  <c r="A22" i="31" s="1"/>
  <c r="I49" i="5"/>
  <c r="C60" i="13"/>
  <c r="K33" i="21"/>
  <c r="A22" i="21"/>
  <c r="A27" i="21" s="1"/>
  <c r="A33" i="21" s="1"/>
  <c r="D195" i="2" s="1"/>
  <c r="A6" i="21"/>
  <c r="M20" i="13"/>
  <c r="L26" i="20"/>
  <c r="I1894" i="20" s="1"/>
  <c r="N8" i="20"/>
  <c r="C11" i="20"/>
  <c r="C14" i="20"/>
  <c r="C18" i="20"/>
  <c r="C26" i="20"/>
  <c r="C32" i="20"/>
  <c r="C42" i="20"/>
  <c r="C43" i="20"/>
  <c r="C53" i="20"/>
  <c r="C55" i="20"/>
  <c r="C58" i="20"/>
  <c r="C62" i="20"/>
  <c r="C65" i="20"/>
  <c r="C66" i="20"/>
  <c r="C68" i="20"/>
  <c r="C69" i="20"/>
  <c r="C71" i="20"/>
  <c r="N82" i="20"/>
  <c r="O82" i="20"/>
  <c r="P8" i="13"/>
  <c r="C11" i="13"/>
  <c r="C14" i="13"/>
  <c r="C18" i="13"/>
  <c r="C26" i="13"/>
  <c r="C32" i="13"/>
  <c r="C42" i="13"/>
  <c r="C43" i="13"/>
  <c r="C53" i="13"/>
  <c r="C55" i="13"/>
  <c r="C58" i="13"/>
  <c r="C62" i="13"/>
  <c r="C65" i="13"/>
  <c r="C66" i="13"/>
  <c r="C68" i="13"/>
  <c r="C69" i="13"/>
  <c r="C71" i="13"/>
  <c r="O81" i="13"/>
  <c r="P81" i="13"/>
  <c r="J13" i="8"/>
  <c r="A15" i="8"/>
  <c r="A17" i="8" s="1"/>
  <c r="J15" i="8"/>
  <c r="A27" i="8"/>
  <c r="A29" i="8" s="1"/>
  <c r="A31" i="8" s="1"/>
  <c r="E15" i="2" s="1"/>
  <c r="J19" i="8"/>
  <c r="J29" i="8"/>
  <c r="A15" i="7"/>
  <c r="A17" i="7" s="1"/>
  <c r="A18" i="7" s="1"/>
  <c r="A19" i="7" s="1"/>
  <c r="A21" i="7" s="1"/>
  <c r="A17" i="6"/>
  <c r="E106" i="2" s="1"/>
  <c r="A17" i="5"/>
  <c r="A18" i="5" s="1"/>
  <c r="F51" i="2"/>
  <c r="F121" i="2" s="1"/>
  <c r="F202" i="2" s="1"/>
  <c r="F273" i="2" s="1"/>
  <c r="F52" i="2"/>
  <c r="F122" i="2" s="1"/>
  <c r="F203" i="2" s="1"/>
  <c r="F274" i="2" s="1"/>
  <c r="F55" i="2"/>
  <c r="F125" i="2" s="1"/>
  <c r="F206" i="2" s="1"/>
  <c r="F277" i="2" s="1"/>
  <c r="B61" i="2"/>
  <c r="B131" i="2" s="1"/>
  <c r="B62" i="2"/>
  <c r="B132" i="2" s="1"/>
  <c r="D73" i="2"/>
  <c r="D83" i="2" s="1"/>
  <c r="D75" i="2"/>
  <c r="D84" i="2" s="1"/>
  <c r="D77" i="2"/>
  <c r="D85" i="2" s="1"/>
  <c r="E129" i="2"/>
  <c r="L129" i="2"/>
  <c r="E130" i="2"/>
  <c r="G130" i="2"/>
  <c r="I130" i="2"/>
  <c r="L130" i="2"/>
  <c r="D161" i="2"/>
  <c r="B15" i="2"/>
  <c r="E18" i="2" s="1"/>
  <c r="E25" i="34"/>
  <c r="E14" i="34"/>
  <c r="E63" i="34" s="1"/>
  <c r="J12" i="34"/>
  <c r="C25" i="34"/>
  <c r="C198" i="34"/>
  <c r="L87"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L244" i="2"/>
  <c r="L245" i="2"/>
  <c r="J97" i="13"/>
  <c r="E100" i="13" s="1"/>
  <c r="M100" i="13"/>
  <c r="M101" i="13"/>
  <c r="O100" i="13"/>
  <c r="O101" i="13"/>
  <c r="O442" i="20"/>
  <c r="O712" i="20"/>
  <c r="O262" i="20"/>
  <c r="O892" i="20"/>
  <c r="O1252" i="20"/>
  <c r="O8" i="20"/>
  <c r="O172" i="20"/>
  <c r="O532" i="20"/>
  <c r="O802" i="20"/>
  <c r="O982" i="20"/>
  <c r="J57" i="6"/>
  <c r="J31" i="6" s="1"/>
  <c r="N1530" i="20"/>
  <c r="I908" i="20"/>
  <c r="E911" i="20" s="1"/>
  <c r="J81" i="6"/>
  <c r="J32" i="6" s="1"/>
  <c r="I50" i="5"/>
  <c r="E51" i="5"/>
  <c r="H228" i="2"/>
  <c r="L232" i="2"/>
  <c r="H232" i="2"/>
  <c r="D30" i="40"/>
  <c r="I17" i="6"/>
  <c r="G106" i="2" s="1"/>
  <c r="H32" i="39"/>
  <c r="H36" i="39"/>
  <c r="H40" i="39"/>
  <c r="G65" i="2"/>
  <c r="G77" i="2"/>
  <c r="H41" i="39"/>
  <c r="G75" i="2"/>
  <c r="G67" i="2"/>
  <c r="H30" i="39"/>
  <c r="H34" i="39"/>
  <c r="H39" i="39"/>
  <c r="H31" i="39"/>
  <c r="G148" i="2"/>
  <c r="G12" i="39"/>
  <c r="L242" i="2"/>
  <c r="G63" i="2"/>
  <c r="H33" i="39"/>
  <c r="H37" i="39"/>
  <c r="I26" i="5"/>
  <c r="I42" i="5"/>
  <c r="C651" i="20" l="1"/>
  <c r="C652" i="20" s="1"/>
  <c r="C653" i="20" s="1"/>
  <c r="C654" i="20" s="1"/>
  <c r="C655" i="20" s="1"/>
  <c r="C656" i="20" s="1"/>
  <c r="C657" i="20" s="1"/>
  <c r="C658" i="20" s="1"/>
  <c r="C659" i="20" s="1"/>
  <c r="C660" i="20" s="1"/>
  <c r="C661" i="20" s="1"/>
  <c r="C662" i="20" s="1"/>
  <c r="C663" i="20" s="1"/>
  <c r="C664" i="20" s="1"/>
  <c r="C665" i="20" s="1"/>
  <c r="C666" i="20" s="1"/>
  <c r="C667" i="20" s="1"/>
  <c r="C668" i="20" s="1"/>
  <c r="C669" i="20" s="1"/>
  <c r="C670" i="20" s="1"/>
  <c r="C671" i="20" s="1"/>
  <c r="C672" i="20" s="1"/>
  <c r="C673" i="20" s="1"/>
  <c r="C674" i="20" s="1"/>
  <c r="C675" i="20" s="1"/>
  <c r="C676" i="20" s="1"/>
  <c r="C677" i="20" s="1"/>
  <c r="C678" i="20" s="1"/>
  <c r="C679" i="20" s="1"/>
  <c r="C680" i="20" s="1"/>
  <c r="C681" i="20" s="1"/>
  <c r="C682" i="20" s="1"/>
  <c r="C683" i="20" s="1"/>
  <c r="C684" i="20" s="1"/>
  <c r="C685" i="20" s="1"/>
  <c r="C686" i="20" s="1"/>
  <c r="C687" i="20" s="1"/>
  <c r="C688" i="20" s="1"/>
  <c r="C689" i="20" s="1"/>
  <c r="C690" i="20" s="1"/>
  <c r="C691" i="20" s="1"/>
  <c r="C692" i="20" s="1"/>
  <c r="C693" i="20" s="1"/>
  <c r="C694" i="20" s="1"/>
  <c r="C695" i="20" s="1"/>
  <c r="C696" i="20" s="1"/>
  <c r="C697" i="20" s="1"/>
  <c r="C698" i="20" s="1"/>
  <c r="C699" i="20" s="1"/>
  <c r="C700" i="20" s="1"/>
  <c r="C742" i="20"/>
  <c r="C743" i="20" s="1"/>
  <c r="C744" i="20" s="1"/>
  <c r="C745" i="20" s="1"/>
  <c r="C746" i="20" s="1"/>
  <c r="C747" i="20" s="1"/>
  <c r="C748" i="20" s="1"/>
  <c r="C749" i="20" s="1"/>
  <c r="C750" i="20" s="1"/>
  <c r="C751" i="20" s="1"/>
  <c r="C752" i="20" s="1"/>
  <c r="C753" i="20" s="1"/>
  <c r="C754" i="20" s="1"/>
  <c r="C755" i="20" s="1"/>
  <c r="C756" i="20" s="1"/>
  <c r="C757" i="20" s="1"/>
  <c r="C758" i="20" s="1"/>
  <c r="C759" i="20" s="1"/>
  <c r="C760" i="20" s="1"/>
  <c r="C761" i="20" s="1"/>
  <c r="C762" i="20" s="1"/>
  <c r="C763" i="20" s="1"/>
  <c r="C764" i="20" s="1"/>
  <c r="C765" i="20" s="1"/>
  <c r="C766" i="20" s="1"/>
  <c r="C767" i="20" s="1"/>
  <c r="C768" i="20" s="1"/>
  <c r="C769" i="20" s="1"/>
  <c r="C770" i="20" s="1"/>
  <c r="C771" i="20" s="1"/>
  <c r="C772" i="20" s="1"/>
  <c r="C773" i="20" s="1"/>
  <c r="C774" i="20" s="1"/>
  <c r="C775" i="20" s="1"/>
  <c r="C776" i="20" s="1"/>
  <c r="C777" i="20" s="1"/>
  <c r="C778" i="20" s="1"/>
  <c r="C779" i="20" s="1"/>
  <c r="C780" i="20" s="1"/>
  <c r="C781" i="20" s="1"/>
  <c r="C782" i="20" s="1"/>
  <c r="C783" i="20" s="1"/>
  <c r="C784" i="20" s="1"/>
  <c r="C785" i="20" s="1"/>
  <c r="C786" i="20" s="1"/>
  <c r="C787" i="20" s="1"/>
  <c r="C788" i="20" s="1"/>
  <c r="C789" i="20" s="1"/>
  <c r="C790" i="20" s="1"/>
  <c r="C832" i="20"/>
  <c r="C833" i="20" s="1"/>
  <c r="C834" i="20" s="1"/>
  <c r="C835" i="20" s="1"/>
  <c r="C836" i="20" s="1"/>
  <c r="C837" i="20" s="1"/>
  <c r="C838" i="20" s="1"/>
  <c r="C839" i="20" s="1"/>
  <c r="C840" i="20" s="1"/>
  <c r="C841" i="20" s="1"/>
  <c r="C842" i="20" s="1"/>
  <c r="C843" i="20" s="1"/>
  <c r="C844" i="20" s="1"/>
  <c r="C845" i="20" s="1"/>
  <c r="C846" i="20" s="1"/>
  <c r="C847" i="20" s="1"/>
  <c r="C848" i="20" s="1"/>
  <c r="C849" i="20" s="1"/>
  <c r="C850" i="20" s="1"/>
  <c r="C851" i="20" s="1"/>
  <c r="C852" i="20" s="1"/>
  <c r="C853" i="20" s="1"/>
  <c r="C854" i="20" s="1"/>
  <c r="C855" i="20" s="1"/>
  <c r="C856" i="20" s="1"/>
  <c r="C857" i="20" s="1"/>
  <c r="C858" i="20" s="1"/>
  <c r="C859" i="20" s="1"/>
  <c r="C860" i="20" s="1"/>
  <c r="C861" i="20" s="1"/>
  <c r="C862" i="20" s="1"/>
  <c r="C863" i="20" s="1"/>
  <c r="C864" i="20" s="1"/>
  <c r="C865" i="20" s="1"/>
  <c r="C866" i="20" s="1"/>
  <c r="C867" i="20" s="1"/>
  <c r="C868" i="20" s="1"/>
  <c r="C869" i="20" s="1"/>
  <c r="C870" i="20" s="1"/>
  <c r="C871" i="20" s="1"/>
  <c r="C872" i="20" s="1"/>
  <c r="C873" i="20" s="1"/>
  <c r="C874" i="20" s="1"/>
  <c r="C875" i="20" s="1"/>
  <c r="C876" i="20" s="1"/>
  <c r="C877" i="20" s="1"/>
  <c r="C878" i="20" s="1"/>
  <c r="C879" i="20" s="1"/>
  <c r="C880" i="20" s="1"/>
  <c r="C565" i="20"/>
  <c r="C566" i="20" s="1"/>
  <c r="C567" i="20" s="1"/>
  <c r="C568" i="20" s="1"/>
  <c r="C569" i="20" s="1"/>
  <c r="C570" i="20" s="1"/>
  <c r="C571" i="20" s="1"/>
  <c r="C572" i="20" s="1"/>
  <c r="C573" i="20" s="1"/>
  <c r="C574" i="20" s="1"/>
  <c r="C575" i="20" s="1"/>
  <c r="C576" i="20" s="1"/>
  <c r="C577" i="20" s="1"/>
  <c r="C578" i="20" s="1"/>
  <c r="C579" i="20" s="1"/>
  <c r="C580" i="20" s="1"/>
  <c r="C581" i="20" s="1"/>
  <c r="C582" i="20" s="1"/>
  <c r="C583" i="20" s="1"/>
  <c r="C584" i="20" s="1"/>
  <c r="C585" i="20" s="1"/>
  <c r="C586" i="20" s="1"/>
  <c r="C587" i="20" s="1"/>
  <c r="C588" i="20" s="1"/>
  <c r="C589" i="20" s="1"/>
  <c r="C590" i="20" s="1"/>
  <c r="C591" i="20" s="1"/>
  <c r="C592" i="20" s="1"/>
  <c r="C593" i="20" s="1"/>
  <c r="C594" i="20" s="1"/>
  <c r="C595" i="20" s="1"/>
  <c r="C596" i="20" s="1"/>
  <c r="C597" i="20" s="1"/>
  <c r="C598" i="20" s="1"/>
  <c r="C599" i="20" s="1"/>
  <c r="C600" i="20" s="1"/>
  <c r="C601" i="20" s="1"/>
  <c r="C602" i="20" s="1"/>
  <c r="C603" i="20" s="1"/>
  <c r="C604" i="20" s="1"/>
  <c r="C605" i="20" s="1"/>
  <c r="C606" i="20" s="1"/>
  <c r="C607" i="20" s="1"/>
  <c r="C608" i="20" s="1"/>
  <c r="C609" i="20" s="1"/>
  <c r="C610" i="20" s="1"/>
  <c r="C475" i="20"/>
  <c r="C476" i="20" s="1"/>
  <c r="C477" i="20" s="1"/>
  <c r="C478" i="20" s="1"/>
  <c r="C479" i="20" s="1"/>
  <c r="C480" i="20" s="1"/>
  <c r="C481" i="20" s="1"/>
  <c r="C482" i="20" s="1"/>
  <c r="C483" i="20" s="1"/>
  <c r="C484" i="20" s="1"/>
  <c r="C485" i="20" s="1"/>
  <c r="C486" i="20" s="1"/>
  <c r="C487" i="20" s="1"/>
  <c r="C488" i="20" s="1"/>
  <c r="C489" i="20" s="1"/>
  <c r="C490" i="20" s="1"/>
  <c r="C491" i="20" s="1"/>
  <c r="C492" i="20" s="1"/>
  <c r="C493" i="20" s="1"/>
  <c r="C494" i="20" s="1"/>
  <c r="C495" i="20" s="1"/>
  <c r="C496" i="20" s="1"/>
  <c r="C497" i="20" s="1"/>
  <c r="C498" i="20" s="1"/>
  <c r="C499" i="20" s="1"/>
  <c r="C500" i="20" s="1"/>
  <c r="C501" i="20" s="1"/>
  <c r="C502" i="20" s="1"/>
  <c r="C503" i="20" s="1"/>
  <c r="C504" i="20" s="1"/>
  <c r="C505" i="20" s="1"/>
  <c r="C506" i="20" s="1"/>
  <c r="C507" i="20" s="1"/>
  <c r="C508" i="20" s="1"/>
  <c r="C509" i="20" s="1"/>
  <c r="C510" i="20" s="1"/>
  <c r="C511" i="20" s="1"/>
  <c r="C512" i="20" s="1"/>
  <c r="C513" i="20" s="1"/>
  <c r="C514" i="20" s="1"/>
  <c r="C515" i="20" s="1"/>
  <c r="C516" i="20" s="1"/>
  <c r="C517" i="20" s="1"/>
  <c r="C518" i="20" s="1"/>
  <c r="C519" i="20" s="1"/>
  <c r="C520" i="20" s="1"/>
  <c r="C385" i="20"/>
  <c r="C386" i="20" s="1"/>
  <c r="C387" i="20" s="1"/>
  <c r="C388" i="20" s="1"/>
  <c r="C389" i="20" s="1"/>
  <c r="C390" i="20" s="1"/>
  <c r="C391" i="20" s="1"/>
  <c r="C392" i="20" s="1"/>
  <c r="C393" i="20" s="1"/>
  <c r="C394" i="20" s="1"/>
  <c r="C395" i="20" s="1"/>
  <c r="C396" i="20" s="1"/>
  <c r="C397" i="20" s="1"/>
  <c r="C398" i="20" s="1"/>
  <c r="C399" i="20" s="1"/>
  <c r="C400" i="20" s="1"/>
  <c r="C401" i="20" s="1"/>
  <c r="C402" i="20" s="1"/>
  <c r="C403" i="20" s="1"/>
  <c r="C404" i="20" s="1"/>
  <c r="C405" i="20" s="1"/>
  <c r="C406" i="20" s="1"/>
  <c r="C407" i="20" s="1"/>
  <c r="C408" i="20" s="1"/>
  <c r="C409" i="20" s="1"/>
  <c r="C410" i="20" s="1"/>
  <c r="C411" i="20" s="1"/>
  <c r="C412" i="20" s="1"/>
  <c r="C413" i="20" s="1"/>
  <c r="C414" i="20" s="1"/>
  <c r="C415" i="20" s="1"/>
  <c r="C416" i="20" s="1"/>
  <c r="C417" i="20" s="1"/>
  <c r="C418" i="20" s="1"/>
  <c r="C419" i="20" s="1"/>
  <c r="C420" i="20" s="1"/>
  <c r="C421" i="20" s="1"/>
  <c r="C422" i="20" s="1"/>
  <c r="C423" i="20" s="1"/>
  <c r="C424" i="20" s="1"/>
  <c r="C425" i="20" s="1"/>
  <c r="C426" i="20" s="1"/>
  <c r="C427" i="20" s="1"/>
  <c r="C428" i="20" s="1"/>
  <c r="C429" i="20" s="1"/>
  <c r="C430" i="20" s="1"/>
  <c r="C295" i="20"/>
  <c r="C296" i="20" s="1"/>
  <c r="C297" i="20" s="1"/>
  <c r="C298" i="20" s="1"/>
  <c r="C299" i="20" s="1"/>
  <c r="C300" i="20" s="1"/>
  <c r="C301" i="20" s="1"/>
  <c r="C302" i="20" s="1"/>
  <c r="C303" i="20" s="1"/>
  <c r="C304" i="20" s="1"/>
  <c r="C305" i="20" s="1"/>
  <c r="C306" i="20" s="1"/>
  <c r="C307" i="20" s="1"/>
  <c r="C308" i="20" s="1"/>
  <c r="C309" i="20" s="1"/>
  <c r="C310" i="20" s="1"/>
  <c r="C311" i="20" s="1"/>
  <c r="C312" i="20" s="1"/>
  <c r="C313" i="20" s="1"/>
  <c r="C314" i="20" s="1"/>
  <c r="C315" i="20" s="1"/>
  <c r="C316" i="20" s="1"/>
  <c r="C317" i="20" s="1"/>
  <c r="C318" i="20" s="1"/>
  <c r="C319" i="20" s="1"/>
  <c r="C320" i="20" s="1"/>
  <c r="C321" i="20" s="1"/>
  <c r="C322" i="20" s="1"/>
  <c r="C323" i="20" s="1"/>
  <c r="C324" i="20" s="1"/>
  <c r="C325" i="20" s="1"/>
  <c r="C326" i="20" s="1"/>
  <c r="C327" i="20" s="1"/>
  <c r="C328" i="20" s="1"/>
  <c r="C329" i="20" s="1"/>
  <c r="C330" i="20" s="1"/>
  <c r="C331" i="20" s="1"/>
  <c r="C332" i="20" s="1"/>
  <c r="C333" i="20" s="1"/>
  <c r="C334" i="20" s="1"/>
  <c r="C335" i="20" s="1"/>
  <c r="C336" i="20" s="1"/>
  <c r="C207" i="20"/>
  <c r="C208" i="20" s="1"/>
  <c r="C209" i="20" s="1"/>
  <c r="C210" i="20" s="1"/>
  <c r="C211" i="20" s="1"/>
  <c r="C212" i="20" s="1"/>
  <c r="C213" i="20" s="1"/>
  <c r="C214" i="20" s="1"/>
  <c r="C215" i="20" s="1"/>
  <c r="C216" i="20" s="1"/>
  <c r="C217" i="20" s="1"/>
  <c r="C218" i="20" s="1"/>
  <c r="C219" i="20" s="1"/>
  <c r="C220" i="20" s="1"/>
  <c r="C221" i="20" s="1"/>
  <c r="C222" i="20" s="1"/>
  <c r="C223" i="20" s="1"/>
  <c r="C224" i="20" s="1"/>
  <c r="C225" i="20" s="1"/>
  <c r="C226" i="20" s="1"/>
  <c r="C227" i="20" s="1"/>
  <c r="C228" i="20" s="1"/>
  <c r="C229" i="20" s="1"/>
  <c r="C230" i="20" s="1"/>
  <c r="C231" i="20" s="1"/>
  <c r="C232" i="20" s="1"/>
  <c r="C233" i="20" s="1"/>
  <c r="C234" i="20" s="1"/>
  <c r="C235" i="20" s="1"/>
  <c r="C236" i="20" s="1"/>
  <c r="C237" i="20" s="1"/>
  <c r="C238" i="20" s="1"/>
  <c r="C239" i="20" s="1"/>
  <c r="C240" i="20" s="1"/>
  <c r="C241" i="20" s="1"/>
  <c r="C242" i="20" s="1"/>
  <c r="C243" i="20" s="1"/>
  <c r="C244" i="20" s="1"/>
  <c r="C245" i="20" s="1"/>
  <c r="C246" i="20" s="1"/>
  <c r="C247" i="20" s="1"/>
  <c r="C248" i="20" s="1"/>
  <c r="C249" i="20" s="1"/>
  <c r="C250" i="20" s="1"/>
  <c r="G70" i="2"/>
  <c r="E65" i="2"/>
  <c r="C64" i="38"/>
  <c r="L73" i="2" s="1"/>
  <c r="H42" i="39"/>
  <c r="G249" i="2" s="1"/>
  <c r="G23" i="39"/>
  <c r="I77" i="20"/>
  <c r="G139" i="36"/>
  <c r="L243" i="2"/>
  <c r="G250" i="2" s="1"/>
  <c r="J250" i="2" s="1"/>
  <c r="E22" i="20" s="1"/>
  <c r="I53" i="11"/>
  <c r="I55" i="11" s="1"/>
  <c r="G151" i="36"/>
  <c r="G172" i="36"/>
  <c r="G32" i="36"/>
  <c r="A21" i="6"/>
  <c r="A23" i="6" s="1"/>
  <c r="E109" i="2" s="1"/>
  <c r="G130" i="36"/>
  <c r="H79" i="34"/>
  <c r="G114" i="36"/>
  <c r="G116" i="36"/>
  <c r="G138" i="36"/>
  <c r="G137" i="36"/>
  <c r="G21" i="37"/>
  <c r="G136" i="36"/>
  <c r="G85" i="36"/>
  <c r="G148" i="36"/>
  <c r="I51" i="5"/>
  <c r="G95" i="2" s="1"/>
  <c r="J77" i="13"/>
  <c r="G123" i="36"/>
  <c r="G24" i="37"/>
  <c r="G32" i="37"/>
  <c r="G48" i="37"/>
  <c r="I110" i="37"/>
  <c r="E64" i="2"/>
  <c r="G60" i="37"/>
  <c r="G68" i="37"/>
  <c r="G76" i="36"/>
  <c r="G92" i="36"/>
  <c r="G81" i="37"/>
  <c r="G89" i="37"/>
  <c r="J184" i="36"/>
  <c r="K184" i="36"/>
  <c r="F23" i="36"/>
  <c r="G52" i="36"/>
  <c r="G67" i="36"/>
  <c r="G109" i="36"/>
  <c r="G125" i="36"/>
  <c r="G141" i="36"/>
  <c r="G55" i="37"/>
  <c r="G71" i="37"/>
  <c r="G165" i="36"/>
  <c r="G51" i="36"/>
  <c r="G162" i="36"/>
  <c r="G56" i="36"/>
  <c r="G42" i="36"/>
  <c r="G58" i="36"/>
  <c r="G66" i="36"/>
  <c r="G102" i="36"/>
  <c r="G110" i="36"/>
  <c r="G105" i="37"/>
  <c r="G92" i="37"/>
  <c r="G134" i="36"/>
  <c r="I72" i="36"/>
  <c r="G174" i="36"/>
  <c r="A181" i="36"/>
  <c r="C184" i="36"/>
  <c r="E177" i="36"/>
  <c r="E183" i="36" s="1"/>
  <c r="G17" i="37"/>
  <c r="G44" i="37"/>
  <c r="G79" i="37"/>
  <c r="G84" i="37"/>
  <c r="G107" i="37"/>
  <c r="D184" i="36"/>
  <c r="G131" i="36"/>
  <c r="G19" i="37"/>
  <c r="G78" i="37"/>
  <c r="G29" i="36"/>
  <c r="G154" i="36"/>
  <c r="G168" i="36"/>
  <c r="G47" i="37"/>
  <c r="G66" i="37"/>
  <c r="D110" i="37"/>
  <c r="G85" i="37"/>
  <c r="F71" i="36"/>
  <c r="G108" i="36"/>
  <c r="G113" i="36"/>
  <c r="G121" i="36"/>
  <c r="G93" i="37"/>
  <c r="F139" i="34"/>
  <c r="F151" i="34" s="1"/>
  <c r="G80" i="36"/>
  <c r="G88" i="36"/>
  <c r="G158" i="36"/>
  <c r="G35" i="37"/>
  <c r="G46" i="37"/>
  <c r="G54" i="37"/>
  <c r="G102" i="37"/>
  <c r="G38" i="36"/>
  <c r="G46" i="36"/>
  <c r="G49" i="36"/>
  <c r="G68" i="36"/>
  <c r="G104" i="36"/>
  <c r="G112" i="36"/>
  <c r="G173" i="36"/>
  <c r="G67" i="37"/>
  <c r="G75" i="37"/>
  <c r="G53" i="37"/>
  <c r="G56" i="37"/>
  <c r="G80" i="37"/>
  <c r="F119" i="34"/>
  <c r="J119" i="34" s="1"/>
  <c r="C52" i="34"/>
  <c r="C80" i="34" s="1"/>
  <c r="G181" i="36"/>
  <c r="G43" i="37"/>
  <c r="G48" i="36"/>
  <c r="G64" i="36"/>
  <c r="G90" i="36"/>
  <c r="G37" i="37"/>
  <c r="C139" i="34"/>
  <c r="C151" i="34" s="1"/>
  <c r="E53" i="34"/>
  <c r="E203" i="34" s="1"/>
  <c r="G98" i="36"/>
  <c r="G115" i="36"/>
  <c r="G150" i="36"/>
  <c r="G161" i="36"/>
  <c r="G164" i="36"/>
  <c r="G167" i="36"/>
  <c r="G34" i="37"/>
  <c r="G61" i="37"/>
  <c r="G94" i="37"/>
  <c r="G99" i="37"/>
  <c r="E98" i="2"/>
  <c r="H188" i="34"/>
  <c r="H213" i="34" s="1"/>
  <c r="H216" i="34" s="1"/>
  <c r="H218" i="34" s="1"/>
  <c r="G28" i="36"/>
  <c r="G89" i="36"/>
  <c r="G180" i="36"/>
  <c r="I197" i="36"/>
  <c r="G31" i="37"/>
  <c r="G39" i="37"/>
  <c r="G146" i="36"/>
  <c r="G169" i="36"/>
  <c r="G33" i="37"/>
  <c r="A184" i="36"/>
  <c r="D34" i="5" s="1"/>
  <c r="G65" i="36"/>
  <c r="G83" i="36"/>
  <c r="G86" i="36"/>
  <c r="G94" i="36"/>
  <c r="G119" i="36"/>
  <c r="G127" i="36"/>
  <c r="G143" i="36"/>
  <c r="G170" i="36"/>
  <c r="G30" i="37"/>
  <c r="G38" i="37"/>
  <c r="G57" i="37"/>
  <c r="A23" i="31"/>
  <c r="A30" i="31" s="1"/>
  <c r="A37" i="31" s="1"/>
  <c r="A40" i="31" s="1"/>
  <c r="A49" i="31" s="1"/>
  <c r="A50" i="31" s="1"/>
  <c r="A52" i="31" s="1"/>
  <c r="A54" i="31" s="1"/>
  <c r="A58" i="31" s="1"/>
  <c r="A59" i="31" s="1"/>
  <c r="A61" i="31" s="1"/>
  <c r="A62" i="31" s="1"/>
  <c r="A65" i="31" s="1"/>
  <c r="A69" i="31" s="1"/>
  <c r="A81" i="31" s="1"/>
  <c r="A86" i="31" s="1"/>
  <c r="A89" i="31" s="1"/>
  <c r="A95" i="31" s="1"/>
  <c r="A98" i="31" s="1"/>
  <c r="A101" i="31" s="1"/>
  <c r="E171" i="2"/>
  <c r="G93" i="36"/>
  <c r="B17" i="2"/>
  <c r="B18" i="2" s="1"/>
  <c r="B24" i="2" s="1"/>
  <c r="B26" i="2" s="1"/>
  <c r="B27" i="2" s="1"/>
  <c r="E28" i="2" s="1"/>
  <c r="E140" i="34"/>
  <c r="F188" i="34"/>
  <c r="F213" i="34" s="1"/>
  <c r="F216" i="34" s="1"/>
  <c r="F218" i="34" s="1"/>
  <c r="G44" i="36"/>
  <c r="G84" i="36"/>
  <c r="C197" i="36"/>
  <c r="G100" i="37"/>
  <c r="G104" i="37"/>
  <c r="G69" i="37"/>
  <c r="F911" i="20"/>
  <c r="D912" i="20" s="1"/>
  <c r="E912" i="20" s="1"/>
  <c r="F912" i="20" s="1"/>
  <c r="D913" i="20" s="1"/>
  <c r="E52" i="34"/>
  <c r="E64" i="34" s="1"/>
  <c r="G188" i="34"/>
  <c r="G213" i="34" s="1"/>
  <c r="G216" i="34" s="1"/>
  <c r="G54" i="36"/>
  <c r="G62" i="36"/>
  <c r="G78" i="36"/>
  <c r="G97" i="36"/>
  <c r="G51" i="37"/>
  <c r="G65" i="37"/>
  <c r="G87" i="37"/>
  <c r="G97" i="37"/>
  <c r="G101" i="37"/>
  <c r="E79" i="34"/>
  <c r="G63" i="36"/>
  <c r="G106" i="36"/>
  <c r="G184" i="36" s="1"/>
  <c r="I109" i="37"/>
  <c r="G149" i="36"/>
  <c r="G163" i="36"/>
  <c r="G20" i="37"/>
  <c r="G103" i="37"/>
  <c r="H139" i="34"/>
  <c r="H151" i="34" s="1"/>
  <c r="N88" i="13"/>
  <c r="O21" i="13" s="1"/>
  <c r="G20" i="36"/>
  <c r="G120" i="36"/>
  <c r="G147" i="36"/>
  <c r="C110" i="37"/>
  <c r="I166" i="34"/>
  <c r="J197" i="34"/>
  <c r="C131" i="34"/>
  <c r="J131" i="34" s="1"/>
  <c r="G139" i="34"/>
  <c r="G151" i="34" s="1"/>
  <c r="G21" i="36"/>
  <c r="G45" i="36"/>
  <c r="G122" i="36"/>
  <c r="G23" i="37"/>
  <c r="G45" i="37"/>
  <c r="G64" i="37"/>
  <c r="G86" i="37"/>
  <c r="G98" i="37"/>
  <c r="S17" i="21"/>
  <c r="I454" i="20"/>
  <c r="D33" i="40"/>
  <c r="G152" i="2" s="1"/>
  <c r="E66" i="2"/>
  <c r="J25" i="34"/>
  <c r="K109" i="37"/>
  <c r="F87" i="38"/>
  <c r="G102" i="2" s="1"/>
  <c r="I1354" i="20"/>
  <c r="G145" i="36"/>
  <c r="J109" i="37"/>
  <c r="C177" i="36"/>
  <c r="C183" i="36" s="1"/>
  <c r="J31" i="34"/>
  <c r="E109" i="37"/>
  <c r="B23" i="40"/>
  <c r="I63" i="34"/>
  <c r="I79" i="34"/>
  <c r="C23" i="36"/>
  <c r="G17" i="36"/>
  <c r="G30" i="36"/>
  <c r="G41" i="36"/>
  <c r="G57" i="36"/>
  <c r="E71" i="36"/>
  <c r="I177" i="36"/>
  <c r="I183" i="36" s="1"/>
  <c r="G91" i="36"/>
  <c r="J177" i="36"/>
  <c r="J183" i="36" s="1"/>
  <c r="G118" i="36"/>
  <c r="G135" i="36"/>
  <c r="G49" i="37"/>
  <c r="G52" i="37"/>
  <c r="G59" i="37"/>
  <c r="G63" i="37"/>
  <c r="G106" i="37"/>
  <c r="I994" i="20"/>
  <c r="G195" i="36"/>
  <c r="H166" i="34"/>
  <c r="G25" i="37"/>
  <c r="I724" i="20"/>
  <c r="I904" i="20"/>
  <c r="I1534" i="20"/>
  <c r="C71" i="36"/>
  <c r="A29" i="38"/>
  <c r="A30" i="38" s="1"/>
  <c r="A31" i="38" s="1"/>
  <c r="A32" i="38" s="1"/>
  <c r="A33" i="38" s="1"/>
  <c r="A34" i="38" s="1"/>
  <c r="A35" i="38" s="1"/>
  <c r="A36" i="38" s="1"/>
  <c r="A37" i="38" s="1"/>
  <c r="A38" i="38" s="1"/>
  <c r="A39" i="38" s="1"/>
  <c r="A40" i="38" s="1"/>
  <c r="A41" i="38" s="1"/>
  <c r="A42" i="38" s="1"/>
  <c r="E67" i="2"/>
  <c r="F166" i="34"/>
  <c r="G79" i="34"/>
  <c r="E53" i="11"/>
  <c r="E55" i="11" s="1"/>
  <c r="G31" i="36"/>
  <c r="K71" i="36"/>
  <c r="J71" i="36"/>
  <c r="G81" i="36"/>
  <c r="G132" i="36"/>
  <c r="G144" i="36"/>
  <c r="K197" i="36"/>
  <c r="G40" i="37"/>
  <c r="G82" i="37"/>
  <c r="G90" i="37"/>
  <c r="F100" i="13"/>
  <c r="G100" i="13" s="1"/>
  <c r="G166" i="34"/>
  <c r="F79" i="34"/>
  <c r="J101" i="34"/>
  <c r="J150" i="34" s="1"/>
  <c r="E199" i="34"/>
  <c r="J14" i="34"/>
  <c r="J63" i="34" s="1"/>
  <c r="F29" i="10"/>
  <c r="F357" i="2" s="1"/>
  <c r="G177" i="2" s="1"/>
  <c r="G181" i="2" s="1"/>
  <c r="G187" i="2" s="1"/>
  <c r="J72" i="36"/>
  <c r="G36" i="36"/>
  <c r="G39" i="36"/>
  <c r="G79" i="36"/>
  <c r="G99" i="36"/>
  <c r="G105" i="36"/>
  <c r="G107" i="36"/>
  <c r="G126" i="36"/>
  <c r="G133" i="36"/>
  <c r="I184" i="36"/>
  <c r="G140" i="36"/>
  <c r="G152" i="36"/>
  <c r="G159" i="36"/>
  <c r="G22" i="37"/>
  <c r="G27" i="37"/>
  <c r="G41" i="37"/>
  <c r="G42" i="37"/>
  <c r="G50" i="37"/>
  <c r="G58" i="37"/>
  <c r="G62" i="37"/>
  <c r="G72" i="37"/>
  <c r="G76" i="37"/>
  <c r="J110" i="37"/>
  <c r="G83" i="37"/>
  <c r="G95" i="37"/>
  <c r="F80" i="38"/>
  <c r="G100" i="2" s="1"/>
  <c r="L100" i="2" s="1"/>
  <c r="E188" i="34"/>
  <c r="E213" i="34" s="1"/>
  <c r="I199" i="34"/>
  <c r="H140" i="34"/>
  <c r="G37" i="36"/>
  <c r="G40" i="36"/>
  <c r="G53" i="36"/>
  <c r="G60" i="36"/>
  <c r="G87" i="36"/>
  <c r="G96" i="36"/>
  <c r="G100" i="36"/>
  <c r="G111" i="36"/>
  <c r="G117" i="36"/>
  <c r="G124" i="36"/>
  <c r="G128" i="36"/>
  <c r="G156" i="36"/>
  <c r="G160" i="36"/>
  <c r="G28" i="37"/>
  <c r="G73" i="37"/>
  <c r="K110" i="37"/>
  <c r="G85" i="2"/>
  <c r="S22" i="21"/>
  <c r="P136" i="13"/>
  <c r="H233" i="2"/>
  <c r="P103" i="13"/>
  <c r="P143" i="13"/>
  <c r="P145" i="13"/>
  <c r="P153" i="13"/>
  <c r="P119" i="13"/>
  <c r="P121" i="13"/>
  <c r="P123" i="13"/>
  <c r="P125" i="13"/>
  <c r="P127" i="13"/>
  <c r="P129" i="13"/>
  <c r="P131" i="13"/>
  <c r="P149" i="13"/>
  <c r="P151" i="13"/>
  <c r="P155" i="13"/>
  <c r="P157" i="13"/>
  <c r="P139" i="13"/>
  <c r="P147" i="13"/>
  <c r="P159" i="13"/>
  <c r="P104" i="13"/>
  <c r="P132" i="13"/>
  <c r="P148" i="13"/>
  <c r="P152" i="13"/>
  <c r="P154" i="13"/>
  <c r="P158" i="13"/>
  <c r="P108" i="13"/>
  <c r="P114" i="13"/>
  <c r="P140" i="13"/>
  <c r="P100" i="13"/>
  <c r="P110" i="13"/>
  <c r="P118" i="13"/>
  <c r="P107" i="13"/>
  <c r="P122" i="13"/>
  <c r="P128" i="13"/>
  <c r="P134" i="13"/>
  <c r="P144" i="13"/>
  <c r="P109" i="13"/>
  <c r="P111" i="13"/>
  <c r="P113" i="13"/>
  <c r="P117" i="13"/>
  <c r="P120" i="13"/>
  <c r="P124" i="13"/>
  <c r="P126" i="13"/>
  <c r="P142" i="13"/>
  <c r="P101" i="13"/>
  <c r="P102" i="13"/>
  <c r="P133" i="13"/>
  <c r="P135" i="13"/>
  <c r="P137" i="13"/>
  <c r="P150" i="13"/>
  <c r="P105" i="13"/>
  <c r="P115" i="13"/>
  <c r="P130" i="13"/>
  <c r="P146" i="13"/>
  <c r="I634" i="20"/>
  <c r="I1983" i="20"/>
  <c r="I1804" i="20"/>
  <c r="I1624" i="20"/>
  <c r="I544" i="20"/>
  <c r="I1174" i="20"/>
  <c r="I274" i="20"/>
  <c r="I814" i="20"/>
  <c r="I1714" i="20"/>
  <c r="I1444" i="20"/>
  <c r="I1084" i="20"/>
  <c r="I184" i="20"/>
  <c r="I364" i="20"/>
  <c r="I1264" i="20"/>
  <c r="I94" i="20"/>
  <c r="C1211" i="20"/>
  <c r="C1212" i="20" s="1"/>
  <c r="C1213" i="20" s="1"/>
  <c r="C1214" i="20" s="1"/>
  <c r="C1215" i="20" s="1"/>
  <c r="C1216" i="20" s="1"/>
  <c r="C1217" i="20" s="1"/>
  <c r="C1218" i="20" s="1"/>
  <c r="C1219" i="20" s="1"/>
  <c r="C1220" i="20" s="1"/>
  <c r="C1221" i="20" s="1"/>
  <c r="C1222" i="20" s="1"/>
  <c r="C1223" i="20" s="1"/>
  <c r="C1224" i="20" s="1"/>
  <c r="C1225" i="20" s="1"/>
  <c r="C1226" i="20" s="1"/>
  <c r="C1227" i="20" s="1"/>
  <c r="C1228" i="20" s="1"/>
  <c r="C1229" i="20" s="1"/>
  <c r="C1230" i="20" s="1"/>
  <c r="C1231" i="20" s="1"/>
  <c r="C1232" i="20" s="1"/>
  <c r="C1233" i="20" s="1"/>
  <c r="C1234" i="20" s="1"/>
  <c r="C1235" i="20" s="1"/>
  <c r="C1236" i="20" s="1"/>
  <c r="C1237" i="20" s="1"/>
  <c r="C1238" i="20" s="1"/>
  <c r="C1239" i="20" s="1"/>
  <c r="C1240" i="20" s="1"/>
  <c r="I34" i="5"/>
  <c r="C1301" i="20"/>
  <c r="C1302" i="20" s="1"/>
  <c r="C1303" i="20" s="1"/>
  <c r="C1304" i="20" s="1"/>
  <c r="C1305" i="20" s="1"/>
  <c r="C1306" i="20" s="1"/>
  <c r="C1307" i="20" s="1"/>
  <c r="C1308" i="20" s="1"/>
  <c r="C1309" i="20" s="1"/>
  <c r="C1310" i="20" s="1"/>
  <c r="C1311" i="20" s="1"/>
  <c r="C1312" i="20" s="1"/>
  <c r="C1313" i="20" s="1"/>
  <c r="C1314" i="20" s="1"/>
  <c r="C1315" i="20" s="1"/>
  <c r="C1316" i="20" s="1"/>
  <c r="C1317" i="20" s="1"/>
  <c r="C1318" i="20" s="1"/>
  <c r="C1319" i="20" s="1"/>
  <c r="C1320" i="20" s="1"/>
  <c r="C1321" i="20" s="1"/>
  <c r="C1322" i="20" s="1"/>
  <c r="C1323" i="20" s="1"/>
  <c r="C1324" i="20" s="1"/>
  <c r="C1325" i="20" s="1"/>
  <c r="C1326" i="20" s="1"/>
  <c r="C1327" i="20" s="1"/>
  <c r="C1328" i="20" s="1"/>
  <c r="C1329" i="20" s="1"/>
  <c r="C1330" i="20" s="1"/>
  <c r="C199" i="34"/>
  <c r="J195" i="34"/>
  <c r="A19" i="5"/>
  <c r="A20" i="5" s="1"/>
  <c r="E172" i="2"/>
  <c r="E169" i="2"/>
  <c r="A48" i="11"/>
  <c r="E173" i="2"/>
  <c r="A23" i="7"/>
  <c r="E116" i="2" s="1"/>
  <c r="B23" i="7"/>
  <c r="C1661" i="20"/>
  <c r="C1662" i="20" s="1"/>
  <c r="C1663" i="20" s="1"/>
  <c r="C1664" i="20" s="1"/>
  <c r="C1665" i="20" s="1"/>
  <c r="C1666" i="20" s="1"/>
  <c r="C1667" i="20" s="1"/>
  <c r="C1668" i="20" s="1"/>
  <c r="C1669" i="20" s="1"/>
  <c r="C1670" i="20" s="1"/>
  <c r="C1671" i="20" s="1"/>
  <c r="C1672" i="20" s="1"/>
  <c r="C1673" i="20" s="1"/>
  <c r="C1674" i="20" s="1"/>
  <c r="C1675" i="20" s="1"/>
  <c r="C1676" i="20" s="1"/>
  <c r="C1677" i="20" s="1"/>
  <c r="E100" i="2"/>
  <c r="A84" i="38"/>
  <c r="A87" i="38" s="1"/>
  <c r="G84" i="2"/>
  <c r="K48" i="11" s="1"/>
  <c r="M89" i="13"/>
  <c r="N89" i="13"/>
  <c r="E139" i="2"/>
  <c r="A24" i="9"/>
  <c r="A25" i="9" s="1"/>
  <c r="A26" i="9" s="1"/>
  <c r="A27" i="9" s="1"/>
  <c r="A28" i="9" s="1"/>
  <c r="A29" i="9" s="1"/>
  <c r="A30" i="9" s="1"/>
  <c r="A31" i="9" s="1"/>
  <c r="A32" i="9" s="1"/>
  <c r="A33" i="9" s="1"/>
  <c r="O33" i="21"/>
  <c r="G195" i="2" s="1"/>
  <c r="S27" i="21"/>
  <c r="L212" i="2"/>
  <c r="J33" i="6"/>
  <c r="G110" i="2" s="1"/>
  <c r="A27" i="40"/>
  <c r="A28" i="40" s="1"/>
  <c r="A29" i="40" s="1"/>
  <c r="A30" i="40" s="1"/>
  <c r="A16" i="34"/>
  <c r="B63" i="34"/>
  <c r="H199" i="34"/>
  <c r="J193" i="34"/>
  <c r="G199" i="34"/>
  <c r="I137" i="34"/>
  <c r="J137" i="34" s="1"/>
  <c r="J136" i="34"/>
  <c r="G125" i="34"/>
  <c r="J124" i="34"/>
  <c r="J198" i="34"/>
  <c r="F199" i="34"/>
  <c r="J194" i="34"/>
  <c r="J130" i="34"/>
  <c r="E150" i="34"/>
  <c r="E166" i="34"/>
  <c r="G38" i="34"/>
  <c r="G52" i="34"/>
  <c r="G33" i="6"/>
  <c r="G112" i="2" s="1"/>
  <c r="L112" i="2" s="1"/>
  <c r="C166" i="34"/>
  <c r="G91" i="37"/>
  <c r="F109" i="37"/>
  <c r="G96" i="37"/>
  <c r="G73" i="2"/>
  <c r="G80" i="2" s="1"/>
  <c r="C23" i="7"/>
  <c r="G116" i="2"/>
  <c r="L116" i="2" s="1"/>
  <c r="H44" i="34"/>
  <c r="J43" i="34"/>
  <c r="F48" i="13"/>
  <c r="G48" i="20"/>
  <c r="D71" i="36"/>
  <c r="G33" i="36"/>
  <c r="C72" i="36"/>
  <c r="G34" i="36"/>
  <c r="G171" i="36"/>
  <c r="F177" i="36"/>
  <c r="F183" i="36" s="1"/>
  <c r="D197" i="36"/>
  <c r="G194" i="36"/>
  <c r="G26" i="37"/>
  <c r="C109" i="37"/>
  <c r="E244" i="2"/>
  <c r="E245" i="2"/>
  <c r="A29" i="39"/>
  <c r="A30" i="39" s="1"/>
  <c r="A31" i="39" s="1"/>
  <c r="A32" i="39" s="1"/>
  <c r="A33" i="39" s="1"/>
  <c r="A34" i="39" s="1"/>
  <c r="A35" i="39" s="1"/>
  <c r="A36" i="39" s="1"/>
  <c r="A37" i="39" s="1"/>
  <c r="A38" i="39" s="1"/>
  <c r="A39" i="39" s="1"/>
  <c r="A40" i="39" s="1"/>
  <c r="A41" i="39" s="1"/>
  <c r="A42" i="39" s="1"/>
  <c r="E243" i="2"/>
  <c r="B74" i="39"/>
  <c r="C79" i="34"/>
  <c r="J112" i="34"/>
  <c r="I52" i="34"/>
  <c r="I32" i="34"/>
  <c r="I53" i="34" s="1"/>
  <c r="I203" i="34" s="1"/>
  <c r="C50" i="34"/>
  <c r="J50" i="34" s="1"/>
  <c r="J49" i="34"/>
  <c r="P106" i="13"/>
  <c r="P156" i="13"/>
  <c r="E23" i="36"/>
  <c r="G19" i="36"/>
  <c r="K177" i="36"/>
  <c r="K183" i="36" s="1"/>
  <c r="I188" i="34"/>
  <c r="J118" i="34"/>
  <c r="I125" i="34"/>
  <c r="I139" i="34"/>
  <c r="F44" i="34"/>
  <c r="F52" i="34"/>
  <c r="M88" i="13"/>
  <c r="N21" i="13" s="1"/>
  <c r="P141" i="13"/>
  <c r="D72" i="36"/>
  <c r="K72" i="36"/>
  <c r="D109" i="37"/>
  <c r="J37" i="34"/>
  <c r="P112" i="13"/>
  <c r="P138" i="13"/>
  <c r="I71" i="36"/>
  <c r="J183" i="34"/>
  <c r="J188" i="34" s="1"/>
  <c r="J213" i="34" s="1"/>
  <c r="C188" i="34"/>
  <c r="C213" i="34" s="1"/>
  <c r="J196" i="34"/>
  <c r="E139" i="34"/>
  <c r="H32" i="34"/>
  <c r="H52" i="34"/>
  <c r="P116" i="13"/>
  <c r="G35" i="36"/>
  <c r="G77" i="36"/>
  <c r="D177" i="36"/>
  <c r="D183" i="36" s="1"/>
  <c r="G153" i="36"/>
  <c r="G43" i="36"/>
  <c r="G55" i="36"/>
  <c r="G61" i="36"/>
  <c r="G95" i="36"/>
  <c r="G103" i="36"/>
  <c r="G129" i="36"/>
  <c r="G142" i="36"/>
  <c r="G157" i="36"/>
  <c r="G18" i="37"/>
  <c r="G36" i="37"/>
  <c r="G77" i="37"/>
  <c r="G47" i="36"/>
  <c r="G50" i="36"/>
  <c r="G59" i="36"/>
  <c r="G82" i="36"/>
  <c r="G101" i="36"/>
  <c r="G155" i="36"/>
  <c r="G166" i="36"/>
  <c r="J197" i="36"/>
  <c r="G29" i="37"/>
  <c r="G70" i="37"/>
  <c r="G74" i="37"/>
  <c r="F1541" i="20"/>
  <c r="D1542" i="20" s="1"/>
  <c r="E55" i="39"/>
  <c r="G88" i="37"/>
  <c r="E77" i="2" l="1"/>
  <c r="E22" i="13"/>
  <c r="L246" i="2"/>
  <c r="G251" i="2" s="1"/>
  <c r="G252" i="2" s="1"/>
  <c r="A29" i="6"/>
  <c r="A31" i="6" s="1"/>
  <c r="A32" i="6" s="1"/>
  <c r="A33" i="6" s="1"/>
  <c r="E110" i="2" s="1"/>
  <c r="E108" i="2"/>
  <c r="G110" i="37"/>
  <c r="E74" i="2"/>
  <c r="G197" i="36"/>
  <c r="C57" i="34"/>
  <c r="C60" i="34" s="1"/>
  <c r="C65" i="34" s="1"/>
  <c r="C64" i="34"/>
  <c r="E73" i="2"/>
  <c r="F144" i="34"/>
  <c r="F147" i="34" s="1"/>
  <c r="F152" i="34" s="1"/>
  <c r="F153" i="34" s="1"/>
  <c r="A49" i="38"/>
  <c r="A50" i="38" s="1"/>
  <c r="A51" i="38" s="1"/>
  <c r="A52" i="38" s="1"/>
  <c r="A53" i="38" s="1"/>
  <c r="A54" i="38" s="1"/>
  <c r="A55" i="38" s="1"/>
  <c r="A56" i="38" s="1"/>
  <c r="A57" i="38" s="1"/>
  <c r="A58" i="38" s="1"/>
  <c r="A59" i="38" s="1"/>
  <c r="A60" i="38" s="1"/>
  <c r="A61" i="38" s="1"/>
  <c r="A62" i="38" s="1"/>
  <c r="D214" i="2" s="1"/>
  <c r="F167" i="34"/>
  <c r="H144" i="34"/>
  <c r="H147" i="34" s="1"/>
  <c r="H152" i="34" s="1"/>
  <c r="H153" i="34" s="1"/>
  <c r="H157" i="34" s="1"/>
  <c r="H173" i="34" s="1"/>
  <c r="H167" i="34"/>
  <c r="G144" i="34"/>
  <c r="G147" i="34" s="1"/>
  <c r="G152" i="34" s="1"/>
  <c r="G153" i="34" s="1"/>
  <c r="G155" i="34" s="1"/>
  <c r="G171" i="34" s="1"/>
  <c r="G174" i="34" s="1"/>
  <c r="C202" i="34"/>
  <c r="C230" i="34" s="1"/>
  <c r="G167" i="34"/>
  <c r="C144" i="34"/>
  <c r="C147" i="34" s="1"/>
  <c r="C152" i="34" s="1"/>
  <c r="C167" i="34"/>
  <c r="A186" i="36"/>
  <c r="A188" i="36" s="1"/>
  <c r="A190" i="36" s="1"/>
  <c r="A192" i="36" s="1"/>
  <c r="A193" i="36" s="1"/>
  <c r="A194" i="36" s="1"/>
  <c r="A195" i="36" s="1"/>
  <c r="A196" i="36" s="1"/>
  <c r="A197" i="36" s="1"/>
  <c r="D52" i="5" s="1"/>
  <c r="H229" i="34"/>
  <c r="H234" i="34" s="1"/>
  <c r="H237" i="34" s="1"/>
  <c r="F140" i="34"/>
  <c r="G23" i="36"/>
  <c r="J166" i="34"/>
  <c r="J125" i="34"/>
  <c r="E76" i="2"/>
  <c r="G188" i="2"/>
  <c r="D30" i="2"/>
  <c r="C140" i="34"/>
  <c r="B28" i="2"/>
  <c r="B30" i="2" s="1"/>
  <c r="B31" i="2" s="1"/>
  <c r="C70" i="20" s="1"/>
  <c r="E75" i="2"/>
  <c r="J44" i="34"/>
  <c r="G140" i="34"/>
  <c r="E229" i="34"/>
  <c r="I140" i="34"/>
  <c r="G229" i="34"/>
  <c r="G218" i="34"/>
  <c r="E80" i="34"/>
  <c r="E57" i="34"/>
  <c r="E60" i="34" s="1"/>
  <c r="E65" i="34" s="1"/>
  <c r="E66" i="34" s="1"/>
  <c r="F229" i="34"/>
  <c r="F234" i="34" s="1"/>
  <c r="F237" i="34" s="1"/>
  <c r="D101" i="13"/>
  <c r="E101" i="13" s="1"/>
  <c r="F101" i="13" s="1"/>
  <c r="G186" i="2"/>
  <c r="G177" i="36"/>
  <c r="G183" i="36" s="1"/>
  <c r="G71" i="36"/>
  <c r="J79" i="34"/>
  <c r="G109" i="37"/>
  <c r="S33" i="21"/>
  <c r="L195" i="2" s="1"/>
  <c r="O88" i="13"/>
  <c r="H53" i="34"/>
  <c r="H203" i="34" s="1"/>
  <c r="J32" i="34"/>
  <c r="J73" i="2"/>
  <c r="G83" i="2"/>
  <c r="G87" i="2" s="1"/>
  <c r="A33" i="40"/>
  <c r="E152" i="2" s="1"/>
  <c r="C33" i="40"/>
  <c r="K51" i="11"/>
  <c r="K53" i="11" s="1"/>
  <c r="K55" i="11" s="1"/>
  <c r="E1542" i="20"/>
  <c r="E144" i="34"/>
  <c r="E147" i="34" s="1"/>
  <c r="E152" i="34" s="1"/>
  <c r="E202" i="34"/>
  <c r="E167" i="34"/>
  <c r="E151" i="34"/>
  <c r="I213" i="34"/>
  <c r="I229" i="34"/>
  <c r="G72" i="36"/>
  <c r="J199" i="34"/>
  <c r="E913" i="20"/>
  <c r="F913" i="20" s="1"/>
  <c r="D914" i="20" s="1"/>
  <c r="D20" i="5"/>
  <c r="C229" i="34"/>
  <c r="J216" i="34"/>
  <c r="H270" i="2" s="1"/>
  <c r="L239" i="2"/>
  <c r="J249" i="2" s="1"/>
  <c r="E57" i="39"/>
  <c r="I167" i="34"/>
  <c r="I144" i="34"/>
  <c r="I147" i="34" s="1"/>
  <c r="I152" i="34" s="1"/>
  <c r="I151" i="34"/>
  <c r="G202" i="34"/>
  <c r="G80" i="34"/>
  <c r="G57" i="34"/>
  <c r="G60" i="34" s="1"/>
  <c r="G65" i="34" s="1"/>
  <c r="G64" i="34"/>
  <c r="B13" i="34"/>
  <c r="A19" i="34"/>
  <c r="A20" i="34" s="1"/>
  <c r="A21" i="34" s="1"/>
  <c r="A22" i="34" s="1"/>
  <c r="A23" i="34" s="1"/>
  <c r="A24" i="34" s="1"/>
  <c r="A25" i="34" s="1"/>
  <c r="N90" i="13"/>
  <c r="O22" i="13"/>
  <c r="O89" i="13"/>
  <c r="C337" i="20"/>
  <c r="C338" i="20" s="1"/>
  <c r="C339" i="20" s="1"/>
  <c r="C340" i="20" s="1"/>
  <c r="J139" i="34"/>
  <c r="A48" i="39"/>
  <c r="A49" i="39" s="1"/>
  <c r="E137" i="2"/>
  <c r="A36" i="9"/>
  <c r="A37" i="9" s="1"/>
  <c r="A38" i="9" s="1"/>
  <c r="A39" i="9" s="1"/>
  <c r="A40" i="9" s="1"/>
  <c r="A41" i="9" s="1"/>
  <c r="A44" i="9" s="1"/>
  <c r="E91" i="2"/>
  <c r="A23" i="5"/>
  <c r="A25" i="5" s="1"/>
  <c r="E216" i="34"/>
  <c r="E218" i="34" s="1"/>
  <c r="H57" i="34"/>
  <c r="H60" i="34" s="1"/>
  <c r="H65" i="34" s="1"/>
  <c r="H80" i="34"/>
  <c r="H64" i="34"/>
  <c r="H202" i="34"/>
  <c r="C216" i="34"/>
  <c r="C218" i="34" s="1"/>
  <c r="F57" i="34"/>
  <c r="F60" i="34" s="1"/>
  <c r="F65" i="34" s="1"/>
  <c r="F202" i="34"/>
  <c r="F64" i="34"/>
  <c r="F80" i="34"/>
  <c r="C53" i="34"/>
  <c r="I80" i="34"/>
  <c r="I202" i="34"/>
  <c r="I57" i="34"/>
  <c r="I60" i="34" s="1"/>
  <c r="I65" i="34" s="1"/>
  <c r="I64" i="34"/>
  <c r="F53" i="34"/>
  <c r="F203" i="34" s="1"/>
  <c r="C22" i="31"/>
  <c r="G53" i="34"/>
  <c r="G203" i="34" s="1"/>
  <c r="J38" i="34"/>
  <c r="C30" i="40"/>
  <c r="L215" i="2"/>
  <c r="L63" i="2" s="1"/>
  <c r="N22" i="13"/>
  <c r="N23" i="13" s="1"/>
  <c r="M90" i="13"/>
  <c r="J52" i="34"/>
  <c r="P21" i="13"/>
  <c r="A50" i="11"/>
  <c r="A51" i="11" s="1"/>
  <c r="C61" i="11" s="1"/>
  <c r="E112" i="2" l="1"/>
  <c r="E113" i="2"/>
  <c r="E111" i="2"/>
  <c r="A39" i="6"/>
  <c r="A41" i="6" s="1"/>
  <c r="A42" i="6" s="1"/>
  <c r="A43" i="6" s="1"/>
  <c r="A44" i="6" s="1"/>
  <c r="A45" i="6" s="1"/>
  <c r="A46" i="6" s="1"/>
  <c r="A47" i="6" s="1"/>
  <c r="A48" i="6" s="1"/>
  <c r="A49" i="6" s="1"/>
  <c r="A50" i="6" s="1"/>
  <c r="A51" i="6" s="1"/>
  <c r="A52" i="6" s="1"/>
  <c r="A53" i="6" s="1"/>
  <c r="A54" i="6" s="1"/>
  <c r="A55" i="6" s="1"/>
  <c r="A56" i="6" s="1"/>
  <c r="A63" i="6" s="1"/>
  <c r="A65" i="6" s="1"/>
  <c r="A66" i="6" s="1"/>
  <c r="A67" i="6" s="1"/>
  <c r="A68" i="6" s="1"/>
  <c r="A69" i="6" s="1"/>
  <c r="A70" i="6" s="1"/>
  <c r="A71" i="6" s="1"/>
  <c r="A72" i="6" s="1"/>
  <c r="A73" i="6" s="1"/>
  <c r="E234" i="34"/>
  <c r="E237" i="34" s="1"/>
  <c r="D213" i="2"/>
  <c r="F155" i="34"/>
  <c r="F171" i="34" s="1"/>
  <c r="F174" i="34" s="1"/>
  <c r="F157" i="34"/>
  <c r="F173" i="34" s="1"/>
  <c r="F156" i="34"/>
  <c r="F172" i="34" s="1"/>
  <c r="C214" i="34"/>
  <c r="C219" i="34" s="1"/>
  <c r="C235" i="34" s="1"/>
  <c r="C207" i="34"/>
  <c r="C210" i="34" s="1"/>
  <c r="C215" i="34" s="1"/>
  <c r="C220" i="34" s="1"/>
  <c r="C236" i="34" s="1"/>
  <c r="C51" i="11"/>
  <c r="G234" i="34"/>
  <c r="G237" i="34" s="1"/>
  <c r="D33" i="2"/>
  <c r="B33" i="2"/>
  <c r="B34" i="2" s="1"/>
  <c r="B36" i="2" s="1"/>
  <c r="B39" i="2" s="1"/>
  <c r="B41" i="2" s="1"/>
  <c r="C70" i="13"/>
  <c r="J140" i="34"/>
  <c r="E70" i="34"/>
  <c r="E86" i="34" s="1"/>
  <c r="E69" i="34"/>
  <c r="E85" i="34" s="1"/>
  <c r="E68" i="34"/>
  <c r="E84" i="34" s="1"/>
  <c r="E87" i="34" s="1"/>
  <c r="E153" i="34"/>
  <c r="E155" i="34" s="1"/>
  <c r="E171" i="34" s="1"/>
  <c r="E174" i="34" s="1"/>
  <c r="C234" i="34"/>
  <c r="C237" i="34" s="1"/>
  <c r="O90" i="13"/>
  <c r="L217" i="2"/>
  <c r="E21" i="13"/>
  <c r="E21" i="20"/>
  <c r="D102" i="13"/>
  <c r="G101" i="13"/>
  <c r="J202" i="34"/>
  <c r="J80" i="34"/>
  <c r="J64" i="34"/>
  <c r="F207" i="34"/>
  <c r="F210" i="34" s="1"/>
  <c r="F215" i="34" s="1"/>
  <c r="F220" i="34" s="1"/>
  <c r="F236" i="34" s="1"/>
  <c r="F230" i="34"/>
  <c r="F214" i="34"/>
  <c r="F219" i="34" s="1"/>
  <c r="A50" i="39"/>
  <c r="A51" i="39" s="1"/>
  <c r="A52" i="39" s="1"/>
  <c r="A53" i="39" s="1"/>
  <c r="A54" i="39" s="1"/>
  <c r="A55" i="39" s="1"/>
  <c r="B79" i="34"/>
  <c r="A28" i="34"/>
  <c r="H250" i="2"/>
  <c r="H251" i="2"/>
  <c r="H249" i="2"/>
  <c r="I216" i="34"/>
  <c r="I218" i="34" s="1"/>
  <c r="I234" i="34" s="1"/>
  <c r="I237" i="34" s="1"/>
  <c r="A52" i="11"/>
  <c r="A53" i="11" s="1"/>
  <c r="I66" i="34"/>
  <c r="I68" i="34" s="1"/>
  <c r="I84" i="34" s="1"/>
  <c r="I87" i="34" s="1"/>
  <c r="C203" i="34"/>
  <c r="J53" i="34"/>
  <c r="J203" i="34" s="1"/>
  <c r="L258" i="2" s="1"/>
  <c r="J268" i="2" s="1"/>
  <c r="H66" i="34"/>
  <c r="H68" i="34" s="1"/>
  <c r="H84" i="34" s="1"/>
  <c r="H87" i="34" s="1"/>
  <c r="A47" i="9"/>
  <c r="A48" i="9" s="1"/>
  <c r="A49" i="9" s="1"/>
  <c r="A50" i="9" s="1"/>
  <c r="A51" i="9" s="1"/>
  <c r="A52" i="9" s="1"/>
  <c r="A53" i="9" s="1"/>
  <c r="A54" i="9" s="1"/>
  <c r="A55" i="9" s="1"/>
  <c r="A56" i="9" s="1"/>
  <c r="A57" i="9" s="1"/>
  <c r="A58" i="9" s="1"/>
  <c r="A59" i="9" s="1"/>
  <c r="A60" i="9" s="1"/>
  <c r="A61" i="9" s="1"/>
  <c r="A62" i="9" s="1"/>
  <c r="A64" i="9" s="1"/>
  <c r="E149" i="2"/>
  <c r="J151" i="34"/>
  <c r="J167" i="34"/>
  <c r="G157" i="34"/>
  <c r="G173" i="34" s="1"/>
  <c r="G207" i="34"/>
  <c r="G210" i="34" s="1"/>
  <c r="G215" i="34" s="1"/>
  <c r="G220" i="34" s="1"/>
  <c r="G236" i="34" s="1"/>
  <c r="G230" i="34"/>
  <c r="G214" i="34"/>
  <c r="G219" i="34" s="1"/>
  <c r="J57" i="34"/>
  <c r="J60" i="34" s="1"/>
  <c r="J65" i="34" s="1"/>
  <c r="K61" i="11"/>
  <c r="K63" i="11" s="1"/>
  <c r="K65" i="11" s="1"/>
  <c r="H230" i="34"/>
  <c r="H214" i="34"/>
  <c r="H219" i="34" s="1"/>
  <c r="H207" i="34"/>
  <c r="H210" i="34" s="1"/>
  <c r="H215" i="34" s="1"/>
  <c r="H220" i="34" s="1"/>
  <c r="H236" i="34" s="1"/>
  <c r="E914" i="20"/>
  <c r="G156" i="34"/>
  <c r="G172" i="34" s="1"/>
  <c r="G75" i="20"/>
  <c r="J71" i="2"/>
  <c r="H75" i="13"/>
  <c r="J144" i="34"/>
  <c r="J147" i="34" s="1"/>
  <c r="J152" i="34" s="1"/>
  <c r="G66" i="34"/>
  <c r="G68" i="34" s="1"/>
  <c r="G84" i="34" s="1"/>
  <c r="G87" i="34" s="1"/>
  <c r="I153" i="34"/>
  <c r="I155" i="34" s="1"/>
  <c r="I171" i="34" s="1"/>
  <c r="I174" i="34" s="1"/>
  <c r="C66" i="34"/>
  <c r="C70" i="34" s="1"/>
  <c r="C86" i="34" s="1"/>
  <c r="G57" i="11"/>
  <c r="I57" i="11"/>
  <c r="I58" i="11" s="1"/>
  <c r="I59" i="11" s="1"/>
  <c r="E57" i="11"/>
  <c r="K57" i="11"/>
  <c r="K58" i="11" s="1"/>
  <c r="H155" i="34"/>
  <c r="H171" i="34" s="1"/>
  <c r="H174" i="34" s="1"/>
  <c r="H156" i="34"/>
  <c r="H172" i="34" s="1"/>
  <c r="I214" i="34"/>
  <c r="I207" i="34"/>
  <c r="I210" i="34" s="1"/>
  <c r="I215" i="34" s="1"/>
  <c r="I230" i="34"/>
  <c r="F66" i="34"/>
  <c r="F68" i="34" s="1"/>
  <c r="F84" i="34" s="1"/>
  <c r="F87" i="34" s="1"/>
  <c r="A26" i="5"/>
  <c r="A27" i="5" s="1"/>
  <c r="A28" i="5" s="1"/>
  <c r="A31" i="5" s="1"/>
  <c r="A33" i="5" s="1"/>
  <c r="C153" i="34"/>
  <c r="P22" i="13"/>
  <c r="P23" i="13" s="1"/>
  <c r="O23" i="13"/>
  <c r="J218" i="34"/>
  <c r="L257" i="2"/>
  <c r="J229" i="34"/>
  <c r="E214" i="34"/>
  <c r="E219" i="34" s="1"/>
  <c r="E230" i="34"/>
  <c r="E207" i="34"/>
  <c r="E210" i="34" s="1"/>
  <c r="E215" i="34" s="1"/>
  <c r="E220" i="34" s="1"/>
  <c r="E236" i="34" s="1"/>
  <c r="F1542" i="20"/>
  <c r="D1543" i="20" s="1"/>
  <c r="G48" i="11"/>
  <c r="A74" i="6" l="1"/>
  <c r="A75" i="6" s="1"/>
  <c r="A76" i="6" s="1"/>
  <c r="A77" i="6" s="1"/>
  <c r="A78" i="6" s="1"/>
  <c r="A79" i="6" s="1"/>
  <c r="A80" i="6" s="1"/>
  <c r="B21" i="2"/>
  <c r="I157" i="34"/>
  <c r="I173" i="34" s="1"/>
  <c r="I69" i="34"/>
  <c r="I85" i="34" s="1"/>
  <c r="F235" i="34"/>
  <c r="I220" i="34"/>
  <c r="I236" i="34" s="1"/>
  <c r="E235" i="34"/>
  <c r="I219" i="34"/>
  <c r="I235" i="34" s="1"/>
  <c r="E157" i="34"/>
  <c r="E173" i="34" s="1"/>
  <c r="E156" i="34"/>
  <c r="E172" i="34" s="1"/>
  <c r="D28" i="5"/>
  <c r="F69" i="34"/>
  <c r="F85" i="34" s="1"/>
  <c r="I70" i="34"/>
  <c r="I86" i="34" s="1"/>
  <c r="G70" i="34"/>
  <c r="G86" i="34" s="1"/>
  <c r="J228" i="2"/>
  <c r="L228" i="2" s="1"/>
  <c r="L233" i="2" s="1"/>
  <c r="L235" i="2" s="1"/>
  <c r="J152" i="2" s="1"/>
  <c r="L152" i="2" s="1"/>
  <c r="J161" i="2"/>
  <c r="L161" i="2" s="1"/>
  <c r="J74" i="2"/>
  <c r="L74" i="2" s="1"/>
  <c r="G69" i="34"/>
  <c r="G85" i="34" s="1"/>
  <c r="J140" i="2"/>
  <c r="J64" i="2" s="1"/>
  <c r="L64" i="2" s="1"/>
  <c r="J149" i="2"/>
  <c r="J150" i="2"/>
  <c r="C155" i="34"/>
  <c r="C171" i="34" s="1"/>
  <c r="C174" i="34" s="1"/>
  <c r="C156" i="34"/>
  <c r="C172" i="34" s="1"/>
  <c r="A54" i="11"/>
  <c r="A55" i="11" s="1"/>
  <c r="H252" i="2"/>
  <c r="D21" i="20"/>
  <c r="F21" i="20" s="1"/>
  <c r="D21" i="13"/>
  <c r="F21" i="13" s="1"/>
  <c r="L249" i="2"/>
  <c r="M48" i="11"/>
  <c r="G51" i="11"/>
  <c r="G61" i="11" s="1"/>
  <c r="C157" i="34"/>
  <c r="C173" i="34" s="1"/>
  <c r="A34" i="5"/>
  <c r="A35" i="5" s="1"/>
  <c r="A36" i="5" s="1"/>
  <c r="A39" i="5" s="1"/>
  <c r="A41" i="5" s="1"/>
  <c r="I67" i="11"/>
  <c r="I68" i="11" s="1"/>
  <c r="I69" i="11" s="1"/>
  <c r="K67" i="11"/>
  <c r="K68" i="11" s="1"/>
  <c r="E67" i="11"/>
  <c r="E68" i="11" s="1"/>
  <c r="G67" i="11"/>
  <c r="J153" i="34"/>
  <c r="J155" i="34" s="1"/>
  <c r="J171" i="34" s="1"/>
  <c r="J174" i="34" s="1"/>
  <c r="H69" i="34"/>
  <c r="H85" i="34" s="1"/>
  <c r="L251" i="2"/>
  <c r="I251" i="2"/>
  <c r="I249" i="2" s="1"/>
  <c r="D23" i="13"/>
  <c r="F23" i="13" s="1"/>
  <c r="D23" i="20"/>
  <c r="F23" i="20" s="1"/>
  <c r="B57" i="39"/>
  <c r="E239" i="2"/>
  <c r="A57" i="39"/>
  <c r="J230" i="34"/>
  <c r="J214" i="34"/>
  <c r="J219" i="34" s="1"/>
  <c r="E102" i="13"/>
  <c r="G267" i="2"/>
  <c r="J234" i="34"/>
  <c r="J237" i="34" s="1"/>
  <c r="H70" i="34"/>
  <c r="H86" i="34" s="1"/>
  <c r="I156" i="34"/>
  <c r="I172" i="34" s="1"/>
  <c r="F70" i="34"/>
  <c r="F86" i="34" s="1"/>
  <c r="I250" i="2"/>
  <c r="D22" i="13"/>
  <c r="F22" i="13" s="1"/>
  <c r="L250" i="2"/>
  <c r="D22" i="20"/>
  <c r="F22" i="20" s="1"/>
  <c r="B55" i="39"/>
  <c r="E1543" i="20"/>
  <c r="B42" i="2"/>
  <c r="E92" i="2"/>
  <c r="M57" i="11"/>
  <c r="E58" i="11"/>
  <c r="C68" i="34"/>
  <c r="C84" i="34" s="1"/>
  <c r="C87" i="34" s="1"/>
  <c r="C69" i="34"/>
  <c r="C85" i="34" s="1"/>
  <c r="F914" i="20"/>
  <c r="D915" i="20" s="1"/>
  <c r="J207" i="34"/>
  <c r="H235" i="34"/>
  <c r="G235" i="34"/>
  <c r="A67" i="9"/>
  <c r="E150" i="2"/>
  <c r="C53" i="11"/>
  <c r="A29" i="34"/>
  <c r="J66" i="34"/>
  <c r="J68" i="34" s="1"/>
  <c r="J84" i="34" s="1"/>
  <c r="J87" i="34" s="1"/>
  <c r="G59" i="20" l="1"/>
  <c r="H76" i="13"/>
  <c r="H77" i="13" s="1"/>
  <c r="H78" i="13" s="1"/>
  <c r="H79" i="13" s="1"/>
  <c r="D96" i="13" s="1"/>
  <c r="G76" i="20"/>
  <c r="G77" i="20" s="1"/>
  <c r="G78" i="20" s="1"/>
  <c r="G79" i="20" s="1"/>
  <c r="D1986" i="20" s="1"/>
  <c r="I1987" i="20" s="1"/>
  <c r="E1990" i="20" s="1"/>
  <c r="J157" i="34"/>
  <c r="J173" i="34" s="1"/>
  <c r="J156" i="34"/>
  <c r="J172" i="34" s="1"/>
  <c r="A68" i="9"/>
  <c r="J76" i="2"/>
  <c r="L76" i="2" s="1"/>
  <c r="J163" i="2"/>
  <c r="L163" i="2" s="1"/>
  <c r="J169" i="2"/>
  <c r="J65" i="2"/>
  <c r="L65" i="2" s="1"/>
  <c r="J66" i="2"/>
  <c r="L66" i="2" s="1"/>
  <c r="J67" i="2"/>
  <c r="L67" i="2" s="1"/>
  <c r="J75" i="2"/>
  <c r="L75" i="2" s="1"/>
  <c r="J77" i="2"/>
  <c r="L77" i="2" s="1"/>
  <c r="J102" i="2"/>
  <c r="L102" i="2" s="1"/>
  <c r="J147" i="2"/>
  <c r="J108" i="2"/>
  <c r="L108" i="2" s="1"/>
  <c r="J110" i="2"/>
  <c r="L110" i="2" s="1"/>
  <c r="J162" i="2"/>
  <c r="L162" i="2" s="1"/>
  <c r="J106" i="2"/>
  <c r="L106" i="2" s="1"/>
  <c r="F59" i="13"/>
  <c r="J69" i="34"/>
  <c r="J85" i="34" s="1"/>
  <c r="J70" i="34"/>
  <c r="J86" i="34" s="1"/>
  <c r="D36" i="5"/>
  <c r="E93" i="2"/>
  <c r="F24" i="13"/>
  <c r="E29" i="13" s="1"/>
  <c r="F24" i="20"/>
  <c r="F29" i="20" s="1"/>
  <c r="E915" i="20"/>
  <c r="F915" i="20" s="1"/>
  <c r="D916" i="20" s="1"/>
  <c r="M61" i="11"/>
  <c r="G63" i="11"/>
  <c r="L83" i="2"/>
  <c r="A30" i="34"/>
  <c r="A31" i="34" s="1"/>
  <c r="E59" i="11"/>
  <c r="C55" i="11"/>
  <c r="B43" i="2"/>
  <c r="D321" i="2" s="1"/>
  <c r="A60" i="39"/>
  <c r="A63" i="39" s="1"/>
  <c r="A64" i="39" s="1"/>
  <c r="A65" i="39" s="1"/>
  <c r="A66" i="39" s="1"/>
  <c r="A68" i="39" s="1"/>
  <c r="D249" i="2"/>
  <c r="E69" i="11"/>
  <c r="L252" i="2"/>
  <c r="G178" i="2" s="1"/>
  <c r="G268" i="2"/>
  <c r="J235" i="34"/>
  <c r="C56" i="11"/>
  <c r="A56" i="11"/>
  <c r="L261" i="2"/>
  <c r="L264" i="2" s="1"/>
  <c r="J210" i="34"/>
  <c r="J215" i="34" s="1"/>
  <c r="J220" i="34" s="1"/>
  <c r="F1543" i="20"/>
  <c r="D1544" i="20" s="1"/>
  <c r="H267" i="2"/>
  <c r="J267" i="2" s="1"/>
  <c r="L267" i="2" s="1"/>
  <c r="L270" i="2" s="1"/>
  <c r="F102" i="13"/>
  <c r="A42" i="5"/>
  <c r="A43" i="5" s="1"/>
  <c r="A44" i="5" s="1"/>
  <c r="A47" i="5" s="1"/>
  <c r="A49" i="5" s="1"/>
  <c r="M51" i="11"/>
  <c r="G53" i="11"/>
  <c r="L80" i="2" l="1"/>
  <c r="L70" i="2"/>
  <c r="J70" i="2" s="1"/>
  <c r="J109" i="2" s="1"/>
  <c r="L109" i="2" s="1"/>
  <c r="L165" i="2"/>
  <c r="D1267" i="20"/>
  <c r="I1268" i="20" s="1"/>
  <c r="E1271" i="20" s="1"/>
  <c r="F1271" i="20" s="1"/>
  <c r="D1272" i="20" s="1"/>
  <c r="D1897" i="20"/>
  <c r="I1898" i="20" s="1"/>
  <c r="E1901" i="20" s="1"/>
  <c r="F1901" i="20" s="1"/>
  <c r="D1902" i="20" s="1"/>
  <c r="D187" i="20"/>
  <c r="I188" i="20" s="1"/>
  <c r="E191" i="20" s="1"/>
  <c r="F191" i="20" s="1"/>
  <c r="D192" i="20" s="1"/>
  <c r="D1087" i="20"/>
  <c r="I1088" i="20" s="1"/>
  <c r="E1091" i="20" s="1"/>
  <c r="F1091" i="20" s="1"/>
  <c r="D1092" i="20" s="1"/>
  <c r="D1627" i="20"/>
  <c r="I1628" i="20" s="1"/>
  <c r="E1631" i="20" s="1"/>
  <c r="F1631" i="20" s="1"/>
  <c r="D1632" i="20" s="1"/>
  <c r="D907" i="20"/>
  <c r="D1357" i="20"/>
  <c r="I1358" i="20" s="1"/>
  <c r="E1361" i="20" s="1"/>
  <c r="F1361" i="20" s="1"/>
  <c r="D1362" i="20" s="1"/>
  <c r="D457" i="20"/>
  <c r="I458" i="20" s="1"/>
  <c r="E461" i="20" s="1"/>
  <c r="F461" i="20" s="1"/>
  <c r="D462" i="20" s="1"/>
  <c r="D727" i="20"/>
  <c r="I728" i="20" s="1"/>
  <c r="E731" i="20" s="1"/>
  <c r="F731" i="20" s="1"/>
  <c r="D732" i="20" s="1"/>
  <c r="D367" i="20"/>
  <c r="I368" i="20" s="1"/>
  <c r="E371" i="20" s="1"/>
  <c r="F371" i="20" s="1"/>
  <c r="D372" i="20" s="1"/>
  <c r="D547" i="20"/>
  <c r="I548" i="20" s="1"/>
  <c r="E551" i="20" s="1"/>
  <c r="F551" i="20" s="1"/>
  <c r="D552" i="20" s="1"/>
  <c r="D1537" i="20"/>
  <c r="D997" i="20"/>
  <c r="I998" i="20" s="1"/>
  <c r="E1001" i="20" s="1"/>
  <c r="F1001" i="20" s="1"/>
  <c r="D1002" i="20" s="1"/>
  <c r="D637" i="20"/>
  <c r="I638" i="20" s="1"/>
  <c r="E641" i="20" s="1"/>
  <c r="F641" i="20" s="1"/>
  <c r="D642" i="20" s="1"/>
  <c r="D1717" i="20"/>
  <c r="I1718" i="20" s="1"/>
  <c r="E1721" i="20" s="1"/>
  <c r="F1721" i="20" s="1"/>
  <c r="D1722" i="20" s="1"/>
  <c r="D1807" i="20"/>
  <c r="I1808" i="20" s="1"/>
  <c r="E1811" i="20" s="1"/>
  <c r="F1811" i="20" s="1"/>
  <c r="D1812" i="20" s="1"/>
  <c r="D1447" i="20"/>
  <c r="I1448" i="20" s="1"/>
  <c r="E1451" i="20" s="1"/>
  <c r="F1451" i="20" s="1"/>
  <c r="D1452" i="20" s="1"/>
  <c r="D1177" i="20"/>
  <c r="I1178" i="20" s="1"/>
  <c r="E1181" i="20" s="1"/>
  <c r="F1181" i="20" s="1"/>
  <c r="D1182" i="20" s="1"/>
  <c r="D817" i="20"/>
  <c r="I818" i="20" s="1"/>
  <c r="E821" i="20" s="1"/>
  <c r="F821" i="20" s="1"/>
  <c r="D822" i="20" s="1"/>
  <c r="D277" i="20"/>
  <c r="I278" i="20" s="1"/>
  <c r="E281" i="20" s="1"/>
  <c r="F281" i="20" s="1"/>
  <c r="D282" i="20" s="1"/>
  <c r="D97" i="20"/>
  <c r="I98" i="20" s="1"/>
  <c r="E101" i="20" s="1"/>
  <c r="F101" i="20" s="1"/>
  <c r="D102" i="20" s="1"/>
  <c r="A69" i="9"/>
  <c r="L84" i="2"/>
  <c r="L85" i="2"/>
  <c r="E94" i="2"/>
  <c r="D44" i="5"/>
  <c r="A32" i="34"/>
  <c r="B32" i="34"/>
  <c r="G269" i="2"/>
  <c r="J236" i="34"/>
  <c r="G55" i="11"/>
  <c r="G58" i="11" s="1"/>
  <c r="M58" i="11" s="1"/>
  <c r="M53" i="11"/>
  <c r="A50" i="5"/>
  <c r="A51" i="5" s="1"/>
  <c r="E1544" i="20"/>
  <c r="F1544" i="20" s="1"/>
  <c r="D1545" i="20" s="1"/>
  <c r="F1990" i="20"/>
  <c r="D1991" i="20" s="1"/>
  <c r="L268" i="2"/>
  <c r="H268" i="2"/>
  <c r="F35" i="20"/>
  <c r="G197" i="2"/>
  <c r="E35" i="13"/>
  <c r="L197" i="2"/>
  <c r="F64" i="13"/>
  <c r="G64" i="20"/>
  <c r="E916" i="20"/>
  <c r="F916" i="20" s="1"/>
  <c r="D917" i="20" s="1"/>
  <c r="D103" i="13"/>
  <c r="G102" i="13"/>
  <c r="A57" i="11"/>
  <c r="C57" i="11"/>
  <c r="A74" i="39"/>
  <c r="A75" i="39" s="1"/>
  <c r="B50" i="39"/>
  <c r="B45" i="2"/>
  <c r="B63" i="2" s="1"/>
  <c r="E45" i="2"/>
  <c r="B31" i="34"/>
  <c r="G65" i="11"/>
  <c r="G68" i="11" s="1"/>
  <c r="M68" i="11" s="1"/>
  <c r="M63" i="11"/>
  <c r="L87" i="2" l="1"/>
  <c r="J87" i="2" s="1"/>
  <c r="J186" i="2" s="1"/>
  <c r="L186" i="2" s="1"/>
  <c r="A70" i="9"/>
  <c r="A72" i="9" s="1"/>
  <c r="E151" i="2" s="1"/>
  <c r="J111" i="2"/>
  <c r="J173" i="2"/>
  <c r="J148" i="2"/>
  <c r="L148" i="2" s="1"/>
  <c r="E917" i="20"/>
  <c r="F917" i="20" s="1"/>
  <c r="D918" i="20" s="1"/>
  <c r="E282" i="20"/>
  <c r="F282" i="20" s="1"/>
  <c r="D283" i="20" s="1"/>
  <c r="E462" i="20"/>
  <c r="F462" i="20" s="1"/>
  <c r="D463" i="20" s="1"/>
  <c r="E552" i="20"/>
  <c r="F552" i="20" s="1"/>
  <c r="D553" i="20" s="1"/>
  <c r="E1991" i="20"/>
  <c r="F1991" i="20" s="1"/>
  <c r="D1992" i="20" s="1"/>
  <c r="E372" i="20"/>
  <c r="F372" i="20" s="1"/>
  <c r="D373" i="20" s="1"/>
  <c r="A52" i="5"/>
  <c r="E95" i="2" s="1"/>
  <c r="E1092" i="20"/>
  <c r="F1092" i="20" s="1"/>
  <c r="D1093" i="20" s="1"/>
  <c r="E1362" i="20"/>
  <c r="E212" i="2"/>
  <c r="C75" i="20"/>
  <c r="B64" i="2"/>
  <c r="B65" i="2" s="1"/>
  <c r="C75" i="13"/>
  <c r="E1902" i="20"/>
  <c r="F1902" i="20" s="1"/>
  <c r="D1903" i="20" s="1"/>
  <c r="E1812" i="20"/>
  <c r="F1812" i="20" s="1"/>
  <c r="D1813" i="20" s="1"/>
  <c r="E102" i="20"/>
  <c r="F102" i="20" s="1"/>
  <c r="D103" i="20" s="1"/>
  <c r="E1545" i="20"/>
  <c r="F1545" i="20" s="1"/>
  <c r="D1546" i="20" s="1"/>
  <c r="E642" i="20"/>
  <c r="F642" i="20" s="1"/>
  <c r="D643" i="20" s="1"/>
  <c r="E822" i="20"/>
  <c r="F822" i="20" s="1"/>
  <c r="D823" i="20" s="1"/>
  <c r="B76" i="39"/>
  <c r="A76" i="39"/>
  <c r="E240" i="2"/>
  <c r="A58" i="11"/>
  <c r="C58" i="11"/>
  <c r="E1632" i="20"/>
  <c r="E103" i="13"/>
  <c r="E192" i="20"/>
  <c r="E1722" i="20"/>
  <c r="E1182" i="20"/>
  <c r="E1272" i="20"/>
  <c r="D51" i="5"/>
  <c r="L269" i="2"/>
  <c r="H269" i="2"/>
  <c r="E1452" i="20"/>
  <c r="A34" i="34"/>
  <c r="E732" i="20"/>
  <c r="F732" i="20" s="1"/>
  <c r="D733" i="20" s="1"/>
  <c r="E1002" i="20"/>
  <c r="F1002" i="20" s="1"/>
  <c r="D1003" i="20" s="1"/>
  <c r="J183" i="2" l="1"/>
  <c r="L183" i="2" s="1"/>
  <c r="L187" i="2" s="1"/>
  <c r="F38" i="20" s="1"/>
  <c r="J184" i="2"/>
  <c r="L184" i="2" s="1"/>
  <c r="L188" i="2" s="1"/>
  <c r="F39" i="20" s="1"/>
  <c r="E1546" i="20"/>
  <c r="F1546" i="20" s="1"/>
  <c r="D1547" i="20" s="1"/>
  <c r="E103" i="20"/>
  <c r="F103" i="20" s="1"/>
  <c r="D104" i="20" s="1"/>
  <c r="E1003" i="20"/>
  <c r="F1003" i="20" s="1"/>
  <c r="D1004" i="20" s="1"/>
  <c r="A35" i="34"/>
  <c r="E643" i="20"/>
  <c r="F643" i="20" s="1"/>
  <c r="D644" i="20" s="1"/>
  <c r="E1813" i="20"/>
  <c r="F1813" i="20" s="1"/>
  <c r="D1814" i="20" s="1"/>
  <c r="E1992" i="20"/>
  <c r="A59" i="11"/>
  <c r="A61" i="11" s="1"/>
  <c r="A62" i="11" s="1"/>
  <c r="A63" i="11" s="1"/>
  <c r="C59" i="11"/>
  <c r="E823" i="20"/>
  <c r="F823" i="20" s="1"/>
  <c r="D824" i="20" s="1"/>
  <c r="E1903" i="20"/>
  <c r="F1903" i="20" s="1"/>
  <c r="D1904" i="20" s="1"/>
  <c r="E1093" i="20"/>
  <c r="F1093" i="20" s="1"/>
  <c r="D1094" i="20" s="1"/>
  <c r="E733" i="20"/>
  <c r="F1182" i="20"/>
  <c r="D1183" i="20" s="1"/>
  <c r="E37" i="13"/>
  <c r="F37" i="20"/>
  <c r="B66" i="2"/>
  <c r="B67" i="2" s="1"/>
  <c r="E553" i="20"/>
  <c r="E463" i="20"/>
  <c r="F463" i="20" s="1"/>
  <c r="D464" i="20" s="1"/>
  <c r="E918" i="20"/>
  <c r="F918" i="20" s="1"/>
  <c r="D919" i="20" s="1"/>
  <c r="E373" i="20"/>
  <c r="F373" i="20" s="1"/>
  <c r="D374" i="20" s="1"/>
  <c r="E283" i="20"/>
  <c r="F283" i="20" s="1"/>
  <c r="D284" i="20" s="1"/>
  <c r="F192" i="20"/>
  <c r="D193" i="20" s="1"/>
  <c r="F1452" i="20"/>
  <c r="D1453" i="20" s="1"/>
  <c r="F1272" i="20"/>
  <c r="D1273" i="20" s="1"/>
  <c r="F1722" i="20"/>
  <c r="D1723" i="20" s="1"/>
  <c r="F103" i="13"/>
  <c r="F1632" i="20"/>
  <c r="D1633" i="20" s="1"/>
  <c r="F1362" i="20"/>
  <c r="D1363" i="20" s="1"/>
  <c r="B70" i="2" l="1"/>
  <c r="B72" i="2" s="1"/>
  <c r="B73" i="2" s="1"/>
  <c r="E70" i="2"/>
  <c r="E38" i="13"/>
  <c r="E39" i="13"/>
  <c r="E1004" i="20"/>
  <c r="E919" i="20"/>
  <c r="F919" i="20" s="1"/>
  <c r="D920" i="20" s="1"/>
  <c r="E1547" i="20"/>
  <c r="F1547" i="20" s="1"/>
  <c r="D1548" i="20" s="1"/>
  <c r="E1723" i="20"/>
  <c r="F1723" i="20" s="1"/>
  <c r="D1724" i="20" s="1"/>
  <c r="E284" i="20"/>
  <c r="E824" i="20"/>
  <c r="F824" i="20" s="1"/>
  <c r="D825" i="20" s="1"/>
  <c r="E1273" i="20"/>
  <c r="F1273" i="20" s="1"/>
  <c r="D1274" i="20" s="1"/>
  <c r="F553" i="20"/>
  <c r="D554" i="20" s="1"/>
  <c r="F733" i="20"/>
  <c r="D734" i="20" s="1"/>
  <c r="A36" i="34"/>
  <c r="A37" i="34" s="1"/>
  <c r="E1633" i="20"/>
  <c r="E1453" i="20"/>
  <c r="F1453" i="20" s="1"/>
  <c r="D1454" i="20" s="1"/>
  <c r="E464" i="20"/>
  <c r="E1183" i="20"/>
  <c r="E1094" i="20"/>
  <c r="F1094" i="20" s="1"/>
  <c r="D1095" i="20" s="1"/>
  <c r="A64" i="11"/>
  <c r="A65" i="11" s="1"/>
  <c r="F1992" i="20"/>
  <c r="D1993" i="20" s="1"/>
  <c r="E1814" i="20"/>
  <c r="F1814" i="20" s="1"/>
  <c r="D1815" i="20" s="1"/>
  <c r="E1363" i="20"/>
  <c r="F1363" i="20" s="1"/>
  <c r="D1364" i="20" s="1"/>
  <c r="E193" i="20"/>
  <c r="F193" i="20" s="1"/>
  <c r="D194" i="20" s="1"/>
  <c r="E1904" i="20"/>
  <c r="F1904" i="20" s="1"/>
  <c r="D1905" i="20" s="1"/>
  <c r="E644" i="20"/>
  <c r="F644" i="20" s="1"/>
  <c r="D645" i="20" s="1"/>
  <c r="E104" i="20"/>
  <c r="F104" i="20" s="1"/>
  <c r="D105" i="20" s="1"/>
  <c r="E374" i="20"/>
  <c r="F374" i="20" s="1"/>
  <c r="D375" i="20" s="1"/>
  <c r="D104" i="13"/>
  <c r="G103" i="13"/>
  <c r="C65" i="11" l="1"/>
  <c r="E194" i="20"/>
  <c r="F194" i="20" s="1"/>
  <c r="D195" i="20" s="1"/>
  <c r="E920" i="20"/>
  <c r="F920" i="20" s="1"/>
  <c r="D921" i="20" s="1"/>
  <c r="E105" i="20"/>
  <c r="F105" i="20" s="1"/>
  <c r="D106" i="20" s="1"/>
  <c r="E1815" i="20"/>
  <c r="F1815" i="20" s="1"/>
  <c r="D1816" i="20" s="1"/>
  <c r="E1454" i="20"/>
  <c r="F1454" i="20" s="1"/>
  <c r="D1455" i="20" s="1"/>
  <c r="E554" i="20"/>
  <c r="F554" i="20" s="1"/>
  <c r="D555" i="20" s="1"/>
  <c r="E825" i="20"/>
  <c r="F825" i="20" s="1"/>
  <c r="D826" i="20" s="1"/>
  <c r="E1548" i="20"/>
  <c r="F1548" i="20" s="1"/>
  <c r="D1549" i="20" s="1"/>
  <c r="A38" i="34"/>
  <c r="B38" i="34"/>
  <c r="E1274" i="20"/>
  <c r="F1274" i="20" s="1"/>
  <c r="D1275" i="20" s="1"/>
  <c r="E1724" i="20"/>
  <c r="F1724" i="20" s="1"/>
  <c r="D1725" i="20" s="1"/>
  <c r="E104" i="13"/>
  <c r="F104" i="13" s="1"/>
  <c r="D105" i="13" s="1"/>
  <c r="E1993" i="20"/>
  <c r="F1993" i="20" s="1"/>
  <c r="D1994" i="20" s="1"/>
  <c r="F464" i="20"/>
  <c r="D465" i="20" s="1"/>
  <c r="F1633" i="20"/>
  <c r="D1634" i="20" s="1"/>
  <c r="B37" i="34"/>
  <c r="E1905" i="20"/>
  <c r="F1905" i="20" s="1"/>
  <c r="D1906" i="20" s="1"/>
  <c r="E1364" i="20"/>
  <c r="F1364" i="20" s="1"/>
  <c r="D1365" i="20" s="1"/>
  <c r="B74" i="2"/>
  <c r="B75" i="2" s="1"/>
  <c r="E1095" i="20"/>
  <c r="F1095" i="20" s="1"/>
  <c r="D1096" i="20" s="1"/>
  <c r="E375" i="20"/>
  <c r="F375" i="20" s="1"/>
  <c r="D376" i="20" s="1"/>
  <c r="E645" i="20"/>
  <c r="F645" i="20" s="1"/>
  <c r="D646" i="20" s="1"/>
  <c r="C66" i="11"/>
  <c r="A66" i="11"/>
  <c r="A67" i="11" s="1"/>
  <c r="C68" i="11" s="1"/>
  <c r="F1183" i="20"/>
  <c r="D1184" i="20" s="1"/>
  <c r="E734" i="20"/>
  <c r="F734" i="20" s="1"/>
  <c r="D735" i="20" s="1"/>
  <c r="F284" i="20"/>
  <c r="D285" i="20" s="1"/>
  <c r="F1004" i="20"/>
  <c r="D1005" i="20" s="1"/>
  <c r="E83" i="2" l="1"/>
  <c r="E1816" i="20"/>
  <c r="F1816" i="20" s="1"/>
  <c r="D1817" i="20" s="1"/>
  <c r="E376" i="20"/>
  <c r="F376" i="20" s="1"/>
  <c r="D377" i="20" s="1"/>
  <c r="E1725" i="20"/>
  <c r="F1725" i="20" s="1"/>
  <c r="D1726" i="20" s="1"/>
  <c r="E826" i="20"/>
  <c r="F826" i="20" s="1"/>
  <c r="D827" i="20" s="1"/>
  <c r="E646" i="20"/>
  <c r="F646" i="20" s="1"/>
  <c r="D647" i="20" s="1"/>
  <c r="E1365" i="20"/>
  <c r="F1365" i="20" s="1"/>
  <c r="D1366" i="20" s="1"/>
  <c r="E1096" i="20"/>
  <c r="F1096" i="20" s="1"/>
  <c r="D1097" i="20" s="1"/>
  <c r="E1549" i="20"/>
  <c r="F1549" i="20" s="1"/>
  <c r="D1550" i="20" s="1"/>
  <c r="B76" i="2"/>
  <c r="B77" i="2" s="1"/>
  <c r="E105" i="13"/>
  <c r="F105" i="13" s="1"/>
  <c r="E735" i="20"/>
  <c r="F735" i="20" s="1"/>
  <c r="D736" i="20" s="1"/>
  <c r="E1634" i="20"/>
  <c r="F1634" i="20" s="1"/>
  <c r="D1635" i="20" s="1"/>
  <c r="C1678" i="20" s="1"/>
  <c r="C1679" i="20" s="1"/>
  <c r="C1680" i="20" s="1"/>
  <c r="C1681" i="20" s="1"/>
  <c r="C1682" i="20" s="1"/>
  <c r="G104" i="13"/>
  <c r="E1455" i="20"/>
  <c r="F1455" i="20" s="1"/>
  <c r="D1456" i="20" s="1"/>
  <c r="E106" i="20"/>
  <c r="F106" i="20" s="1"/>
  <c r="D107" i="20" s="1"/>
  <c r="E195" i="20"/>
  <c r="F195" i="20" s="1"/>
  <c r="D196" i="20" s="1"/>
  <c r="E285" i="20"/>
  <c r="F285" i="20" s="1"/>
  <c r="D286" i="20" s="1"/>
  <c r="E1906" i="20"/>
  <c r="F1906" i="20" s="1"/>
  <c r="D1907" i="20" s="1"/>
  <c r="E1275" i="20"/>
  <c r="F1275" i="20" s="1"/>
  <c r="D1276" i="20" s="1"/>
  <c r="A40" i="34"/>
  <c r="E555" i="20"/>
  <c r="F555" i="20" s="1"/>
  <c r="D556" i="20" s="1"/>
  <c r="E921" i="20"/>
  <c r="F921" i="20" s="1"/>
  <c r="D922" i="20" s="1"/>
  <c r="E1994" i="20"/>
  <c r="F1994" i="20" s="1"/>
  <c r="D1995" i="20" s="1"/>
  <c r="E1184" i="20"/>
  <c r="F1184" i="20" s="1"/>
  <c r="D1185" i="20" s="1"/>
  <c r="E1005" i="20"/>
  <c r="F1005" i="20" s="1"/>
  <c r="D1006" i="20" s="1"/>
  <c r="A68" i="11"/>
  <c r="C67" i="11"/>
  <c r="E465" i="20"/>
  <c r="F465" i="20" s="1"/>
  <c r="D466" i="20" s="1"/>
  <c r="B80" i="2" l="1"/>
  <c r="B82" i="2" s="1"/>
  <c r="B83" i="2" s="1"/>
  <c r="E80" i="2"/>
  <c r="E84" i="2"/>
  <c r="D106" i="13"/>
  <c r="E106" i="13" s="1"/>
  <c r="F106" i="13" s="1"/>
  <c r="G105" i="13"/>
  <c r="E1456" i="20"/>
  <c r="F1456" i="20" s="1"/>
  <c r="D1457" i="20" s="1"/>
  <c r="E827" i="20"/>
  <c r="F827" i="20" s="1"/>
  <c r="D828" i="20" s="1"/>
  <c r="E647" i="20"/>
  <c r="F647" i="20" s="1"/>
  <c r="D648" i="20" s="1"/>
  <c r="E1995" i="20"/>
  <c r="F1995" i="20" s="1"/>
  <c r="D1996" i="20" s="1"/>
  <c r="E107" i="20"/>
  <c r="F107" i="20" s="1"/>
  <c r="D108" i="20" s="1"/>
  <c r="E1550" i="20"/>
  <c r="F1550" i="20" s="1"/>
  <c r="D1551" i="20" s="1"/>
  <c r="E1276" i="20"/>
  <c r="F1276" i="20" s="1"/>
  <c r="D1277" i="20" s="1"/>
  <c r="E1635" i="20"/>
  <c r="F1635" i="20" s="1"/>
  <c r="D1636" i="20" s="1"/>
  <c r="E1366" i="20"/>
  <c r="F1366" i="20" s="1"/>
  <c r="D1367" i="20" s="1"/>
  <c r="E377" i="20"/>
  <c r="F377" i="20" s="1"/>
  <c r="D378" i="20" s="1"/>
  <c r="E466" i="20"/>
  <c r="F466" i="20" s="1"/>
  <c r="D467" i="20" s="1"/>
  <c r="E1006" i="20"/>
  <c r="F1006" i="20" s="1"/>
  <c r="D1007" i="20" s="1"/>
  <c r="E922" i="20"/>
  <c r="F922" i="20" s="1"/>
  <c r="D923" i="20" s="1"/>
  <c r="E1907" i="20"/>
  <c r="F1907" i="20" s="1"/>
  <c r="D1908" i="20" s="1"/>
  <c r="E196" i="20"/>
  <c r="F196" i="20" s="1"/>
  <c r="D197" i="20" s="1"/>
  <c r="E85" i="2"/>
  <c r="E1097" i="20"/>
  <c r="F1097" i="20" s="1"/>
  <c r="D1098" i="20" s="1"/>
  <c r="E1726" i="20"/>
  <c r="F1726" i="20" s="1"/>
  <c r="D1727" i="20" s="1"/>
  <c r="E1817" i="20"/>
  <c r="F1817" i="20" s="1"/>
  <c r="D1818" i="20" s="1"/>
  <c r="E1185" i="20"/>
  <c r="F1185" i="20" s="1"/>
  <c r="D1186" i="20" s="1"/>
  <c r="E556" i="20"/>
  <c r="F556" i="20" s="1"/>
  <c r="D557" i="20" s="1"/>
  <c r="E286" i="20"/>
  <c r="F286" i="20" s="1"/>
  <c r="D287" i="20" s="1"/>
  <c r="E736" i="20"/>
  <c r="F736" i="20" s="1"/>
  <c r="D737" i="20" s="1"/>
  <c r="C69" i="11"/>
  <c r="A69" i="11"/>
  <c r="A41" i="34"/>
  <c r="E467" i="20" l="1"/>
  <c r="F467" i="20" s="1"/>
  <c r="E1551" i="20"/>
  <c r="F1551" i="20" s="1"/>
  <c r="D1552" i="20" s="1"/>
  <c r="E1818" i="20"/>
  <c r="F1818" i="20" s="1"/>
  <c r="E1007" i="20"/>
  <c r="F1007" i="20" s="1"/>
  <c r="D1008" i="20" s="1"/>
  <c r="E557" i="20"/>
  <c r="F557" i="20" s="1"/>
  <c r="D107" i="13"/>
  <c r="G106" i="13"/>
  <c r="E378" i="20"/>
  <c r="F378" i="20" s="1"/>
  <c r="E648" i="20"/>
  <c r="F648" i="20" s="1"/>
  <c r="E737" i="20"/>
  <c r="F737" i="20" s="1"/>
  <c r="D738" i="20" s="1"/>
  <c r="E1098" i="20"/>
  <c r="F1098" i="20" s="1"/>
  <c r="D1099" i="20" s="1"/>
  <c r="E1636" i="20"/>
  <c r="F1636" i="20" s="1"/>
  <c r="D1637" i="20" s="1"/>
  <c r="E1996" i="20"/>
  <c r="F1996" i="20" s="1"/>
  <c r="D1997" i="20" s="1"/>
  <c r="E287" i="20"/>
  <c r="F287" i="20" s="1"/>
  <c r="E1727" i="20"/>
  <c r="F1727" i="20" s="1"/>
  <c r="E197" i="20"/>
  <c r="F197" i="20" s="1"/>
  <c r="E923" i="20"/>
  <c r="F923" i="20" s="1"/>
  <c r="D924" i="20" s="1"/>
  <c r="E1367" i="20"/>
  <c r="F1367" i="20" s="1"/>
  <c r="D1368" i="20" s="1"/>
  <c r="E1277" i="20"/>
  <c r="F1277" i="20" s="1"/>
  <c r="D1278" i="20" s="1"/>
  <c r="E108" i="20"/>
  <c r="F108" i="20" s="1"/>
  <c r="D109" i="20" s="1"/>
  <c r="E1457" i="20"/>
  <c r="F1457" i="20" s="1"/>
  <c r="C64" i="20"/>
  <c r="B84" i="2"/>
  <c r="B85" i="2" s="1"/>
  <c r="C64" i="13"/>
  <c r="E1908" i="20"/>
  <c r="F1908" i="20" s="1"/>
  <c r="E828" i="20"/>
  <c r="F828" i="20" s="1"/>
  <c r="E1186" i="20"/>
  <c r="F1186" i="20" s="1"/>
  <c r="A42" i="34"/>
  <c r="A43" i="34" s="1"/>
  <c r="B87" i="2" l="1"/>
  <c r="B90" i="2" s="1"/>
  <c r="B91" i="2" s="1"/>
  <c r="E87" i="2"/>
  <c r="D1728" i="20"/>
  <c r="E1728" i="20" s="1"/>
  <c r="F1728" i="20" s="1"/>
  <c r="D1909" i="20"/>
  <c r="E1909" i="20" s="1"/>
  <c r="F1909" i="20" s="1"/>
  <c r="D468" i="20"/>
  <c r="E468" i="20" s="1"/>
  <c r="F468" i="20" s="1"/>
  <c r="D558" i="20"/>
  <c r="E558" i="20" s="1"/>
  <c r="F558" i="20" s="1"/>
  <c r="D379" i="20"/>
  <c r="E379" i="20" s="1"/>
  <c r="F379" i="20" s="1"/>
  <c r="D198" i="20"/>
  <c r="D649" i="20"/>
  <c r="D829" i="20"/>
  <c r="D288" i="20"/>
  <c r="D1187" i="20"/>
  <c r="D1458" i="20"/>
  <c r="D1819" i="20"/>
  <c r="E1552" i="20"/>
  <c r="F1552" i="20" s="1"/>
  <c r="D1553" i="20" s="1"/>
  <c r="E109" i="20"/>
  <c r="F109" i="20" s="1"/>
  <c r="E107" i="13"/>
  <c r="F107" i="13" s="1"/>
  <c r="B43" i="34"/>
  <c r="E1997" i="20"/>
  <c r="F1997" i="20" s="1"/>
  <c r="E1099" i="20"/>
  <c r="F1099" i="20" s="1"/>
  <c r="E738" i="20"/>
  <c r="F738" i="20" s="1"/>
  <c r="E1278" i="20"/>
  <c r="F1278" i="20" s="1"/>
  <c r="E924" i="20"/>
  <c r="F924" i="20" s="1"/>
  <c r="E1637" i="20"/>
  <c r="F1637" i="20" s="1"/>
  <c r="E1008" i="20"/>
  <c r="F1008" i="20" s="1"/>
  <c r="A44" i="34"/>
  <c r="B44" i="34"/>
  <c r="E1368" i="20"/>
  <c r="F1368" i="20" s="1"/>
  <c r="C48" i="11" l="1"/>
  <c r="D925" i="20"/>
  <c r="D380" i="20"/>
  <c r="E1553" i="20"/>
  <c r="F1553" i="20" s="1"/>
  <c r="A46" i="34"/>
  <c r="D559" i="20"/>
  <c r="D739" i="20"/>
  <c r="E288" i="20"/>
  <c r="F288" i="20" s="1"/>
  <c r="D1009" i="20"/>
  <c r="D1638" i="20"/>
  <c r="D1279" i="20"/>
  <c r="D1729" i="20"/>
  <c r="D110" i="20"/>
  <c r="D1369" i="20"/>
  <c r="B92" i="2"/>
  <c r="B93" i="2" s="1"/>
  <c r="B94" i="2" s="1"/>
  <c r="B95" i="2" s="1"/>
  <c r="B96" i="2" s="1"/>
  <c r="D469" i="20"/>
  <c r="D1100" i="20"/>
  <c r="D1910" i="20"/>
  <c r="D1998" i="20"/>
  <c r="D108" i="13"/>
  <c r="G107" i="13"/>
  <c r="E1458" i="20"/>
  <c r="F1458" i="20" s="1"/>
  <c r="D1459" i="20" s="1"/>
  <c r="E649" i="20"/>
  <c r="F649" i="20" s="1"/>
  <c r="E1187" i="20"/>
  <c r="F1187" i="20" s="1"/>
  <c r="E829" i="20"/>
  <c r="F829" i="20" s="1"/>
  <c r="E1819" i="20"/>
  <c r="F1819" i="20" s="1"/>
  <c r="E198" i="20"/>
  <c r="F198" i="20" s="1"/>
  <c r="D289" i="20" l="1"/>
  <c r="E289" i="20" s="1"/>
  <c r="F289" i="20" s="1"/>
  <c r="D290" i="20" s="1"/>
  <c r="D1554" i="20"/>
  <c r="D650" i="20"/>
  <c r="E1459" i="20"/>
  <c r="F1459" i="20" s="1"/>
  <c r="D1460" i="20" s="1"/>
  <c r="E739" i="20"/>
  <c r="F739" i="20" s="1"/>
  <c r="D1820" i="20"/>
  <c r="E1910" i="20"/>
  <c r="F1910" i="20" s="1"/>
  <c r="E469" i="20"/>
  <c r="F469" i="20" s="1"/>
  <c r="A47" i="34"/>
  <c r="D199" i="20"/>
  <c r="D830" i="20"/>
  <c r="E1100" i="20"/>
  <c r="F1100" i="20" s="1"/>
  <c r="E96" i="2"/>
  <c r="E1369" i="20"/>
  <c r="F1369" i="20" s="1"/>
  <c r="D1370" i="20" s="1"/>
  <c r="E110" i="20"/>
  <c r="F110" i="20" s="1"/>
  <c r="D111" i="20" s="1"/>
  <c r="E1998" i="20"/>
  <c r="F1998" i="20" s="1"/>
  <c r="D1999" i="20" s="1"/>
  <c r="D1188" i="20"/>
  <c r="E1279" i="20"/>
  <c r="F1279" i="20" s="1"/>
  <c r="E1009" i="20"/>
  <c r="F1009" i="20" s="1"/>
  <c r="D1010" i="20" s="1"/>
  <c r="E380" i="20"/>
  <c r="F380" i="20" s="1"/>
  <c r="D381" i="20" s="1"/>
  <c r="E108" i="13"/>
  <c r="F108" i="13" s="1"/>
  <c r="D109" i="13" s="1"/>
  <c r="B98" i="2"/>
  <c r="B100" i="2" s="1"/>
  <c r="B102" i="2" s="1"/>
  <c r="B104" i="2" s="1"/>
  <c r="B105" i="2" s="1"/>
  <c r="E1729" i="20"/>
  <c r="F1729" i="20" s="1"/>
  <c r="D1730" i="20" s="1"/>
  <c r="E1638" i="20"/>
  <c r="F1638" i="20" s="1"/>
  <c r="E559" i="20"/>
  <c r="F559" i="20" s="1"/>
  <c r="D560" i="20" s="1"/>
  <c r="E925" i="20"/>
  <c r="F925" i="20" s="1"/>
  <c r="D926" i="20" s="1"/>
  <c r="D1911" i="20" l="1"/>
  <c r="E1911" i="20" s="1"/>
  <c r="F1911" i="20" s="1"/>
  <c r="D1639" i="20"/>
  <c r="E1639" i="20" s="1"/>
  <c r="F1639" i="20" s="1"/>
  <c r="G108" i="13"/>
  <c r="D740" i="20"/>
  <c r="D1101" i="20"/>
  <c r="D470" i="20"/>
  <c r="D1280" i="20"/>
  <c r="B106" i="2"/>
  <c r="B108" i="2" s="1"/>
  <c r="B109" i="2" s="1"/>
  <c r="B110" i="2" s="1"/>
  <c r="B111" i="2" s="1"/>
  <c r="B112" i="2" s="1"/>
  <c r="B113" i="2" s="1"/>
  <c r="B114" i="2" s="1"/>
  <c r="B116" i="2" s="1"/>
  <c r="E381" i="20"/>
  <c r="F381" i="20" s="1"/>
  <c r="E1370" i="20"/>
  <c r="F1370" i="20" s="1"/>
  <c r="D1371" i="20" s="1"/>
  <c r="E1460" i="20"/>
  <c r="F1460" i="20" s="1"/>
  <c r="E290" i="20"/>
  <c r="F290" i="20" s="1"/>
  <c r="E926" i="20"/>
  <c r="F926" i="20" s="1"/>
  <c r="E1730" i="20"/>
  <c r="F1730" i="20" s="1"/>
  <c r="D1731" i="20" s="1"/>
  <c r="A48" i="34"/>
  <c r="A49" i="34" s="1"/>
  <c r="E650" i="20"/>
  <c r="F650" i="20" s="1"/>
  <c r="D651" i="20" s="1"/>
  <c r="E560" i="20"/>
  <c r="F560" i="20" s="1"/>
  <c r="E1010" i="20"/>
  <c r="F1010" i="20" s="1"/>
  <c r="E1999" i="20"/>
  <c r="F1999" i="20" s="1"/>
  <c r="E111" i="20"/>
  <c r="F111" i="20" s="1"/>
  <c r="E199" i="20"/>
  <c r="F199" i="20" s="1"/>
  <c r="D200" i="20" s="1"/>
  <c r="E109" i="13"/>
  <c r="F109" i="13" s="1"/>
  <c r="D110" i="13" s="1"/>
  <c r="E830" i="20"/>
  <c r="F830" i="20" s="1"/>
  <c r="E1554" i="20"/>
  <c r="F1554" i="20" s="1"/>
  <c r="D1555" i="20" s="1"/>
  <c r="E1188" i="20"/>
  <c r="F1188" i="20" s="1"/>
  <c r="E1820" i="20"/>
  <c r="F1820" i="20" s="1"/>
  <c r="D118" i="2" l="1"/>
  <c r="B49" i="34"/>
  <c r="D561" i="20"/>
  <c r="E561" i="20" s="1"/>
  <c r="F561" i="20" s="1"/>
  <c r="D562" i="20" s="1"/>
  <c r="D291" i="20"/>
  <c r="E291" i="20" s="1"/>
  <c r="F291" i="20" s="1"/>
  <c r="D2000" i="20"/>
  <c r="E2000" i="20" s="1"/>
  <c r="F2000" i="20" s="1"/>
  <c r="D2001" i="20" s="1"/>
  <c r="D112" i="20"/>
  <c r="E112" i="20" s="1"/>
  <c r="F112" i="20" s="1"/>
  <c r="D1011" i="20"/>
  <c r="E1011" i="20" s="1"/>
  <c r="F1011" i="20" s="1"/>
  <c r="D831" i="20"/>
  <c r="D1821" i="20"/>
  <c r="D927" i="20"/>
  <c r="D1189" i="20"/>
  <c r="D1912" i="20"/>
  <c r="D382" i="20"/>
  <c r="D1461" i="20"/>
  <c r="D1640" i="20"/>
  <c r="C1683" i="20" s="1"/>
  <c r="C1684" i="20" s="1"/>
  <c r="C1685" i="20" s="1"/>
  <c r="C1686" i="20" s="1"/>
  <c r="C1687" i="20" s="1"/>
  <c r="E651" i="20"/>
  <c r="F651" i="20" s="1"/>
  <c r="D652" i="20" s="1"/>
  <c r="E200" i="20"/>
  <c r="F200" i="20" s="1"/>
  <c r="E1101" i="20"/>
  <c r="F1101" i="20" s="1"/>
  <c r="D317" i="2"/>
  <c r="B118" i="2"/>
  <c r="E1280" i="20"/>
  <c r="F1280" i="20" s="1"/>
  <c r="D1281" i="20" s="1"/>
  <c r="E470" i="20"/>
  <c r="F470" i="20" s="1"/>
  <c r="D471" i="20" s="1"/>
  <c r="E740" i="20"/>
  <c r="F740" i="20" s="1"/>
  <c r="D741" i="20" s="1"/>
  <c r="E1555" i="20"/>
  <c r="F1555" i="20" s="1"/>
  <c r="E110" i="13"/>
  <c r="F110" i="13" s="1"/>
  <c r="D111" i="13" s="1"/>
  <c r="E1731" i="20"/>
  <c r="F1731" i="20" s="1"/>
  <c r="D1732" i="20" s="1"/>
  <c r="E1371" i="20"/>
  <c r="F1371" i="20" s="1"/>
  <c r="D1372" i="20" s="1"/>
  <c r="G109" i="13"/>
  <c r="A50" i="34"/>
  <c r="B52" i="34"/>
  <c r="B50" i="34"/>
  <c r="E114" i="2"/>
  <c r="D1556" i="20" l="1"/>
  <c r="E1556" i="20" s="1"/>
  <c r="F1556" i="20" s="1"/>
  <c r="D113" i="20"/>
  <c r="D1012" i="20"/>
  <c r="D201" i="20"/>
  <c r="D292" i="20"/>
  <c r="D1102" i="20"/>
  <c r="E1732" i="20"/>
  <c r="F1732" i="20" s="1"/>
  <c r="D1733" i="20" s="1"/>
  <c r="E741" i="20"/>
  <c r="F741" i="20" s="1"/>
  <c r="D742" i="20" s="1"/>
  <c r="E1281" i="20"/>
  <c r="F1281" i="20" s="1"/>
  <c r="D1282" i="20" s="1"/>
  <c r="E562" i="20"/>
  <c r="F562" i="20" s="1"/>
  <c r="E2001" i="20"/>
  <c r="F2001" i="20" s="1"/>
  <c r="D2002" i="20" s="1"/>
  <c r="E111" i="13"/>
  <c r="F111" i="13" s="1"/>
  <c r="E1189" i="20"/>
  <c r="F1189" i="20" s="1"/>
  <c r="E927" i="20"/>
  <c r="F927" i="20" s="1"/>
  <c r="G110" i="13"/>
  <c r="B133" i="2"/>
  <c r="C28" i="20"/>
  <c r="C28" i="13"/>
  <c r="E1640" i="20"/>
  <c r="F1640" i="20" s="1"/>
  <c r="D1641" i="20" s="1"/>
  <c r="E1461" i="20"/>
  <c r="F1461" i="20" s="1"/>
  <c r="E1912" i="20"/>
  <c r="F1912" i="20" s="1"/>
  <c r="D1913" i="20" s="1"/>
  <c r="E1372" i="20"/>
  <c r="F1372" i="20" s="1"/>
  <c r="D1373" i="20" s="1"/>
  <c r="E471" i="20"/>
  <c r="F471" i="20" s="1"/>
  <c r="E652" i="20"/>
  <c r="F652" i="20" s="1"/>
  <c r="E1821" i="20"/>
  <c r="F1821" i="20" s="1"/>
  <c r="A52" i="34"/>
  <c r="B53" i="34"/>
  <c r="E382" i="20"/>
  <c r="F382" i="20" s="1"/>
  <c r="E831" i="20"/>
  <c r="F831" i="20" s="1"/>
  <c r="D832" i="20" s="1"/>
  <c r="D928" i="20" l="1"/>
  <c r="E928" i="20" s="1"/>
  <c r="F928" i="20" s="1"/>
  <c r="D1190" i="20"/>
  <c r="E1190" i="20" s="1"/>
  <c r="F1190" i="20" s="1"/>
  <c r="D383" i="20"/>
  <c r="D653" i="20"/>
  <c r="D563" i="20"/>
  <c r="D472" i="20"/>
  <c r="D1462" i="20"/>
  <c r="D112" i="13"/>
  <c r="G111" i="13"/>
  <c r="D1822" i="20"/>
  <c r="D1557" i="20"/>
  <c r="B64" i="34"/>
  <c r="A53" i="34"/>
  <c r="B57" i="34"/>
  <c r="B134" i="2"/>
  <c r="B135" i="2" s="1"/>
  <c r="E2002" i="20"/>
  <c r="F2002" i="20" s="1"/>
  <c r="D2003" i="20" s="1"/>
  <c r="E1282" i="20"/>
  <c r="F1282" i="20" s="1"/>
  <c r="D1283" i="20" s="1"/>
  <c r="E742" i="20"/>
  <c r="F742" i="20" s="1"/>
  <c r="E1733" i="20"/>
  <c r="F1733" i="20" s="1"/>
  <c r="E1102" i="20"/>
  <c r="F1102" i="20" s="1"/>
  <c r="D1103" i="20" s="1"/>
  <c r="E1913" i="20"/>
  <c r="F1913" i="20" s="1"/>
  <c r="D1914" i="20" s="1"/>
  <c r="E1641" i="20"/>
  <c r="F1641" i="20" s="1"/>
  <c r="D1642" i="20" s="1"/>
  <c r="E1012" i="20"/>
  <c r="F1012" i="20" s="1"/>
  <c r="D1013" i="20" s="1"/>
  <c r="E113" i="20"/>
  <c r="F113" i="20" s="1"/>
  <c r="D114" i="20" s="1"/>
  <c r="E292" i="20"/>
  <c r="F292" i="20" s="1"/>
  <c r="E832" i="20"/>
  <c r="F832" i="20" s="1"/>
  <c r="E1373" i="20"/>
  <c r="F1373" i="20" s="1"/>
  <c r="E201" i="20"/>
  <c r="F201" i="20" s="1"/>
  <c r="D833" i="20" l="1"/>
  <c r="E833" i="20" s="1"/>
  <c r="F833" i="20" s="1"/>
  <c r="D202" i="20"/>
  <c r="E202" i="20" s="1"/>
  <c r="F202" i="20" s="1"/>
  <c r="D929" i="20"/>
  <c r="E929" i="20" s="1"/>
  <c r="F929" i="20" s="1"/>
  <c r="D930" i="20" s="1"/>
  <c r="D1374" i="20"/>
  <c r="D1734" i="20"/>
  <c r="D743" i="20"/>
  <c r="D293" i="20"/>
  <c r="D1191" i="20"/>
  <c r="E114" i="20"/>
  <c r="F114" i="20" s="1"/>
  <c r="E1642" i="20"/>
  <c r="F1642" i="20" s="1"/>
  <c r="E1283" i="20"/>
  <c r="F1283" i="20" s="1"/>
  <c r="D1284" i="20" s="1"/>
  <c r="E2003" i="20"/>
  <c r="F2003" i="20" s="1"/>
  <c r="B136" i="2"/>
  <c r="B137" i="2" s="1"/>
  <c r="E653" i="20"/>
  <c r="F653" i="20" s="1"/>
  <c r="D654" i="20" s="1"/>
  <c r="B203" i="34"/>
  <c r="B80" i="34"/>
  <c r="A56" i="34"/>
  <c r="E563" i="20"/>
  <c r="F563" i="20" s="1"/>
  <c r="D564" i="20" s="1"/>
  <c r="E1822" i="20"/>
  <c r="F1822" i="20" s="1"/>
  <c r="E472" i="20"/>
  <c r="F472" i="20" s="1"/>
  <c r="E1013" i="20"/>
  <c r="F1013" i="20" s="1"/>
  <c r="E1914" i="20"/>
  <c r="F1914" i="20" s="1"/>
  <c r="D1915" i="20" s="1"/>
  <c r="E1103" i="20"/>
  <c r="F1103" i="20" s="1"/>
  <c r="D1104" i="20" s="1"/>
  <c r="E112" i="13"/>
  <c r="F112" i="13" s="1"/>
  <c r="E136" i="2"/>
  <c r="E1557" i="20"/>
  <c r="F1557" i="20" s="1"/>
  <c r="E1462" i="20"/>
  <c r="F1462" i="20" s="1"/>
  <c r="E383" i="20"/>
  <c r="F383" i="20" s="1"/>
  <c r="D384" i="20" s="1"/>
  <c r="D2004" i="20" l="1"/>
  <c r="E2004" i="20" s="1"/>
  <c r="F2004" i="20" s="1"/>
  <c r="D2005" i="20" s="1"/>
  <c r="D203" i="20"/>
  <c r="E203" i="20" s="1"/>
  <c r="F203" i="20" s="1"/>
  <c r="D1463" i="20"/>
  <c r="D834" i="20"/>
  <c r="D1823" i="20"/>
  <c r="D473" i="20"/>
  <c r="D115" i="20"/>
  <c r="D1014" i="20"/>
  <c r="D1558" i="20"/>
  <c r="D113" i="13"/>
  <c r="G112" i="13"/>
  <c r="D1643" i="20"/>
  <c r="E564" i="20"/>
  <c r="F564" i="20" s="1"/>
  <c r="E654" i="20"/>
  <c r="F654" i="20" s="1"/>
  <c r="D655" i="20" s="1"/>
  <c r="E930" i="20"/>
  <c r="F930" i="20" s="1"/>
  <c r="D931" i="20" s="1"/>
  <c r="A57" i="34"/>
  <c r="A58" i="34" s="1"/>
  <c r="E1284" i="20"/>
  <c r="F1284" i="20" s="1"/>
  <c r="D1285" i="20" s="1"/>
  <c r="E1734" i="20"/>
  <c r="F1734" i="20" s="1"/>
  <c r="D1735" i="20" s="1"/>
  <c r="E384" i="20"/>
  <c r="F384" i="20" s="1"/>
  <c r="E743" i="20"/>
  <c r="F743" i="20" s="1"/>
  <c r="D744" i="20" s="1"/>
  <c r="E293" i="20"/>
  <c r="F293" i="20" s="1"/>
  <c r="D294" i="20" s="1"/>
  <c r="E1104" i="20"/>
  <c r="F1104" i="20" s="1"/>
  <c r="E1915" i="20"/>
  <c r="F1915" i="20" s="1"/>
  <c r="D1916" i="20" s="1"/>
  <c r="B138" i="2"/>
  <c r="E41" i="2"/>
  <c r="D312" i="2"/>
  <c r="E1191" i="20"/>
  <c r="F1191" i="20" s="1"/>
  <c r="D1192" i="20" s="1"/>
  <c r="E1374" i="20"/>
  <c r="F1374" i="20" s="1"/>
  <c r="D1375" i="20" s="1"/>
  <c r="D1105" i="20" l="1"/>
  <c r="D565" i="20"/>
  <c r="D385" i="20"/>
  <c r="D204" i="20"/>
  <c r="E1192" i="20"/>
  <c r="F1192" i="20" s="1"/>
  <c r="D1193" i="20" s="1"/>
  <c r="B139" i="2"/>
  <c r="E140" i="2" s="1"/>
  <c r="E294" i="20"/>
  <c r="F294" i="20" s="1"/>
  <c r="E1735" i="20"/>
  <c r="F1735" i="20" s="1"/>
  <c r="D1736" i="20" s="1"/>
  <c r="E931" i="20"/>
  <c r="F931" i="20" s="1"/>
  <c r="E1916" i="20"/>
  <c r="F1916" i="20" s="1"/>
  <c r="E744" i="20"/>
  <c r="F744" i="20" s="1"/>
  <c r="E655" i="20"/>
  <c r="F655" i="20" s="1"/>
  <c r="E113" i="13"/>
  <c r="F113" i="13" s="1"/>
  <c r="A59" i="34"/>
  <c r="E1643" i="20"/>
  <c r="F1643" i="20" s="1"/>
  <c r="E1014" i="20"/>
  <c r="F1014" i="20" s="1"/>
  <c r="D1015" i="20" s="1"/>
  <c r="E834" i="20"/>
  <c r="F834" i="20" s="1"/>
  <c r="E2005" i="20"/>
  <c r="F2005" i="20" s="1"/>
  <c r="E1558" i="20"/>
  <c r="F1558" i="20" s="1"/>
  <c r="D1559" i="20" s="1"/>
  <c r="E1823" i="20"/>
  <c r="F1823" i="20" s="1"/>
  <c r="E1375" i="20"/>
  <c r="F1375" i="20" s="1"/>
  <c r="E1285" i="20"/>
  <c r="F1285" i="20" s="1"/>
  <c r="E473" i="20"/>
  <c r="F473" i="20" s="1"/>
  <c r="D474" i="20" s="1"/>
  <c r="E115" i="20"/>
  <c r="F115" i="20" s="1"/>
  <c r="E1463" i="20"/>
  <c r="F1463" i="20" s="1"/>
  <c r="D2006" i="20" l="1"/>
  <c r="E2006" i="20" s="1"/>
  <c r="F2006" i="20" s="1"/>
  <c r="D932" i="20"/>
  <c r="E932" i="20" s="1"/>
  <c r="F932" i="20" s="1"/>
  <c r="D933" i="20" s="1"/>
  <c r="D1917" i="20"/>
  <c r="D114" i="13"/>
  <c r="G113" i="13"/>
  <c r="D1464" i="20"/>
  <c r="D656" i="20"/>
  <c r="D295" i="20"/>
  <c r="D1644" i="20"/>
  <c r="D745" i="20"/>
  <c r="D1376" i="20"/>
  <c r="D116" i="20"/>
  <c r="D1286" i="20"/>
  <c r="D1824" i="20"/>
  <c r="D835" i="20"/>
  <c r="E1015" i="20"/>
  <c r="F1015" i="20" s="1"/>
  <c r="D1016" i="20" s="1"/>
  <c r="A60" i="34"/>
  <c r="E385" i="20"/>
  <c r="F385" i="20" s="1"/>
  <c r="E474" i="20"/>
  <c r="F474" i="20" s="1"/>
  <c r="E1736" i="20"/>
  <c r="F1736" i="20" s="1"/>
  <c r="D1737" i="20" s="1"/>
  <c r="E565" i="20"/>
  <c r="F565" i="20" s="1"/>
  <c r="E1559" i="20"/>
  <c r="F1559" i="20" s="1"/>
  <c r="D1560" i="20" s="1"/>
  <c r="E1193" i="20"/>
  <c r="F1193" i="20" s="1"/>
  <c r="D1194" i="20" s="1"/>
  <c r="E204" i="20"/>
  <c r="F204" i="20" s="1"/>
  <c r="D314" i="2"/>
  <c r="B140" i="2"/>
  <c r="E1105" i="20"/>
  <c r="F1105" i="20" s="1"/>
  <c r="D205" i="20" l="1"/>
  <c r="E205" i="20" s="1"/>
  <c r="F205" i="20" s="1"/>
  <c r="D206" i="20" s="1"/>
  <c r="D1106" i="20"/>
  <c r="E1106" i="20" s="1"/>
  <c r="F1106" i="20" s="1"/>
  <c r="D566" i="20"/>
  <c r="E566" i="20" s="1"/>
  <c r="F566" i="20" s="1"/>
  <c r="D386" i="20"/>
  <c r="D2007" i="20"/>
  <c r="D475" i="20"/>
  <c r="E933" i="20"/>
  <c r="F933" i="20" s="1"/>
  <c r="D934" i="20" s="1"/>
  <c r="E1824" i="20"/>
  <c r="F1824" i="20" s="1"/>
  <c r="E745" i="20"/>
  <c r="F745" i="20" s="1"/>
  <c r="E1464" i="20"/>
  <c r="F1464" i="20" s="1"/>
  <c r="B65" i="34"/>
  <c r="A63" i="34"/>
  <c r="E1016" i="20"/>
  <c r="F1016" i="20" s="1"/>
  <c r="D1017" i="20" s="1"/>
  <c r="E116" i="20"/>
  <c r="F116" i="20" s="1"/>
  <c r="E295" i="20"/>
  <c r="F295" i="20" s="1"/>
  <c r="E114" i="13"/>
  <c r="F114" i="13" s="1"/>
  <c r="B142" i="2"/>
  <c r="E105" i="2"/>
  <c r="D311" i="2"/>
  <c r="E1737" i="20"/>
  <c r="F1737" i="20" s="1"/>
  <c r="E1286" i="20"/>
  <c r="F1286" i="20" s="1"/>
  <c r="E1644" i="20"/>
  <c r="F1644" i="20" s="1"/>
  <c r="D1645" i="20" s="1"/>
  <c r="C1688" i="20" s="1"/>
  <c r="C1689" i="20" s="1"/>
  <c r="C1690" i="20" s="1"/>
  <c r="E1194" i="20"/>
  <c r="F1194" i="20" s="1"/>
  <c r="E1560" i="20"/>
  <c r="F1560" i="20" s="1"/>
  <c r="D1561" i="20" s="1"/>
  <c r="E835" i="20"/>
  <c r="F835" i="20" s="1"/>
  <c r="E1376" i="20"/>
  <c r="F1376" i="20" s="1"/>
  <c r="E656" i="20"/>
  <c r="F656" i="20" s="1"/>
  <c r="E1917" i="20"/>
  <c r="F1917" i="20" s="1"/>
  <c r="D1918" i="20" s="1"/>
  <c r="D1465" i="20" l="1"/>
  <c r="E1465" i="20" s="1"/>
  <c r="F1465" i="20" s="1"/>
  <c r="D657" i="20"/>
  <c r="E657" i="20" s="1"/>
  <c r="F657" i="20" s="1"/>
  <c r="D658" i="20" s="1"/>
  <c r="D296" i="20"/>
  <c r="E296" i="20" s="1"/>
  <c r="F296" i="20" s="1"/>
  <c r="D1825" i="20"/>
  <c r="E1825" i="20" s="1"/>
  <c r="D1377" i="20"/>
  <c r="D567" i="20"/>
  <c r="D1738" i="20"/>
  <c r="D117" i="20"/>
  <c r="D746" i="20"/>
  <c r="D1287" i="20"/>
  <c r="D1107" i="20"/>
  <c r="D1195" i="20"/>
  <c r="D836" i="20"/>
  <c r="D115" i="13"/>
  <c r="G114" i="13"/>
  <c r="E1918" i="20"/>
  <c r="F1918" i="20" s="1"/>
  <c r="E1561" i="20"/>
  <c r="F1561" i="20" s="1"/>
  <c r="E1645" i="20"/>
  <c r="F1645" i="20" s="1"/>
  <c r="D1646" i="20" s="1"/>
  <c r="E206" i="20"/>
  <c r="F206" i="20" s="1"/>
  <c r="E934" i="20"/>
  <c r="F934" i="20" s="1"/>
  <c r="E475" i="20"/>
  <c r="F475" i="20" s="1"/>
  <c r="D476" i="20" s="1"/>
  <c r="E2007" i="20"/>
  <c r="F2007" i="20" s="1"/>
  <c r="D2008" i="20" s="1"/>
  <c r="E1017" i="20"/>
  <c r="F1017" i="20" s="1"/>
  <c r="B143" i="2"/>
  <c r="A64" i="34"/>
  <c r="E386" i="20"/>
  <c r="F386" i="20" s="1"/>
  <c r="F1825" i="20" l="1"/>
  <c r="D1826" i="20" s="1"/>
  <c r="E1826" i="20" s="1"/>
  <c r="F1826" i="20" s="1"/>
  <c r="D1827" i="20" s="1"/>
  <c r="D1466" i="20"/>
  <c r="E1466" i="20" s="1"/>
  <c r="F1466" i="20" s="1"/>
  <c r="D207" i="20"/>
  <c r="D1919" i="20"/>
  <c r="D1018" i="20"/>
  <c r="D387" i="20"/>
  <c r="D297" i="20"/>
  <c r="D935" i="20"/>
  <c r="D1562" i="20"/>
  <c r="A65" i="34"/>
  <c r="E148" i="2"/>
  <c r="B144" i="2"/>
  <c r="B145" i="2" s="1"/>
  <c r="B146" i="2" s="1"/>
  <c r="B147" i="2" s="1"/>
  <c r="E658" i="20"/>
  <c r="F658" i="20" s="1"/>
  <c r="D659" i="20" s="1"/>
  <c r="E476" i="20"/>
  <c r="F476" i="20" s="1"/>
  <c r="E1646" i="20"/>
  <c r="F1646" i="20" s="1"/>
  <c r="E115" i="13"/>
  <c r="F115" i="13" s="1"/>
  <c r="D116" i="13" s="1"/>
  <c r="E1287" i="20"/>
  <c r="F1287" i="20" s="1"/>
  <c r="E567" i="20"/>
  <c r="F567" i="20" s="1"/>
  <c r="E1107" i="20"/>
  <c r="F1107" i="20" s="1"/>
  <c r="E1738" i="20"/>
  <c r="F1738" i="20" s="1"/>
  <c r="D1739" i="20" s="1"/>
  <c r="E2008" i="20"/>
  <c r="F2008" i="20" s="1"/>
  <c r="D2009" i="20" s="1"/>
  <c r="E1195" i="20"/>
  <c r="F1195" i="20" s="1"/>
  <c r="E117" i="20"/>
  <c r="F117" i="20" s="1"/>
  <c r="D118" i="20" s="1"/>
  <c r="E836" i="20"/>
  <c r="F836" i="20" s="1"/>
  <c r="E746" i="20"/>
  <c r="F746" i="20" s="1"/>
  <c r="E1377" i="20"/>
  <c r="F1377" i="20" s="1"/>
  <c r="E147" i="2" l="1"/>
  <c r="D837" i="20"/>
  <c r="E837" i="20" s="1"/>
  <c r="F837" i="20" s="1"/>
  <c r="D838" i="20" s="1"/>
  <c r="D568" i="20"/>
  <c r="E568" i="20" s="1"/>
  <c r="F568" i="20" s="1"/>
  <c r="D1288" i="20"/>
  <c r="E1288" i="20" s="1"/>
  <c r="F1288" i="20" s="1"/>
  <c r="D477" i="20"/>
  <c r="E477" i="20" s="1"/>
  <c r="F477" i="20" s="1"/>
  <c r="D1108" i="20"/>
  <c r="D1196" i="20"/>
  <c r="D1647" i="20"/>
  <c r="D747" i="20"/>
  <c r="D1467" i="20"/>
  <c r="D1378" i="20"/>
  <c r="E118" i="20"/>
  <c r="F118" i="20" s="1"/>
  <c r="D119" i="20" s="1"/>
  <c r="E2009" i="20"/>
  <c r="F2009" i="20" s="1"/>
  <c r="E1827" i="20"/>
  <c r="F1827" i="20" s="1"/>
  <c r="D1828" i="20" s="1"/>
  <c r="E116" i="13"/>
  <c r="F116" i="13" s="1"/>
  <c r="D117" i="13" s="1"/>
  <c r="E935" i="20"/>
  <c r="F935" i="20" s="1"/>
  <c r="D936" i="20" s="1"/>
  <c r="E1919" i="20"/>
  <c r="F1919" i="20" s="1"/>
  <c r="D1920" i="20" s="1"/>
  <c r="G115" i="13"/>
  <c r="E1562" i="20"/>
  <c r="F1562" i="20" s="1"/>
  <c r="E1018" i="20"/>
  <c r="F1018" i="20" s="1"/>
  <c r="E1739" i="20"/>
  <c r="F1739" i="20" s="1"/>
  <c r="E659" i="20"/>
  <c r="F659" i="20" s="1"/>
  <c r="A66" i="34"/>
  <c r="B70" i="34" s="1"/>
  <c r="E387" i="20"/>
  <c r="F387" i="20" s="1"/>
  <c r="B148" i="2"/>
  <c r="B149" i="2" s="1"/>
  <c r="B150" i="2" s="1"/>
  <c r="B151" i="2" s="1"/>
  <c r="B152" i="2" s="1"/>
  <c r="B154" i="2" s="1"/>
  <c r="E297" i="20"/>
  <c r="F297" i="20" s="1"/>
  <c r="D298" i="20" s="1"/>
  <c r="E207" i="20"/>
  <c r="F207" i="20" s="1"/>
  <c r="E154" i="2" l="1"/>
  <c r="D1563" i="20"/>
  <c r="E1563" i="20" s="1"/>
  <c r="F1563" i="20" s="1"/>
  <c r="D208" i="20"/>
  <c r="E208" i="20" s="1"/>
  <c r="F208" i="20" s="1"/>
  <c r="D209" i="20" s="1"/>
  <c r="D2010" i="20"/>
  <c r="E2010" i="20" s="1"/>
  <c r="D569" i="20"/>
  <c r="E569" i="20" s="1"/>
  <c r="F569" i="20" s="1"/>
  <c r="D478" i="20"/>
  <c r="D1740" i="20"/>
  <c r="D388" i="20"/>
  <c r="D1019" i="20"/>
  <c r="D1289" i="20"/>
  <c r="D660" i="20"/>
  <c r="E298" i="20"/>
  <c r="F298" i="20" s="1"/>
  <c r="D299" i="20" s="1"/>
  <c r="E1828" i="20"/>
  <c r="F1828" i="20" s="1"/>
  <c r="D1829" i="20" s="1"/>
  <c r="E119" i="20"/>
  <c r="F119" i="20" s="1"/>
  <c r="D120" i="20" s="1"/>
  <c r="E1378" i="20"/>
  <c r="F1378" i="20" s="1"/>
  <c r="D1379" i="20" s="1"/>
  <c r="E1196" i="20"/>
  <c r="F1196" i="20" s="1"/>
  <c r="D1197" i="20" s="1"/>
  <c r="G116" i="13"/>
  <c r="E1647" i="20"/>
  <c r="F1647" i="20" s="1"/>
  <c r="E838" i="20"/>
  <c r="F838" i="20" s="1"/>
  <c r="E1920" i="20"/>
  <c r="F1920" i="20" s="1"/>
  <c r="D1921" i="20" s="1"/>
  <c r="E936" i="20"/>
  <c r="F936" i="20" s="1"/>
  <c r="D937" i="20" s="1"/>
  <c r="E117" i="13"/>
  <c r="F117" i="13" s="1"/>
  <c r="E747" i="20"/>
  <c r="F747" i="20" s="1"/>
  <c r="B156" i="2"/>
  <c r="D315" i="2"/>
  <c r="E156" i="2"/>
  <c r="A68" i="34"/>
  <c r="B68" i="34"/>
  <c r="B69" i="34"/>
  <c r="E1467" i="20"/>
  <c r="F1467" i="20" s="1"/>
  <c r="D1468" i="20" s="1"/>
  <c r="E1108" i="20"/>
  <c r="F1108" i="20" s="1"/>
  <c r="F2010" i="20" l="1"/>
  <c r="D2011" i="20" s="1"/>
  <c r="E2011" i="20" s="1"/>
  <c r="F2011" i="20" s="1"/>
  <c r="D1109" i="20"/>
  <c r="D1564" i="20"/>
  <c r="D839" i="20"/>
  <c r="D118" i="13"/>
  <c r="G117" i="13"/>
  <c r="D748" i="20"/>
  <c r="D1648" i="20"/>
  <c r="D570" i="20"/>
  <c r="E1468" i="20"/>
  <c r="F1468" i="20" s="1"/>
  <c r="E937" i="20"/>
  <c r="F937" i="20" s="1"/>
  <c r="E209" i="20"/>
  <c r="F209" i="20" s="1"/>
  <c r="E1197" i="20"/>
  <c r="F1197" i="20" s="1"/>
  <c r="E120" i="20"/>
  <c r="F120" i="20" s="1"/>
  <c r="E1829" i="20"/>
  <c r="F1829" i="20" s="1"/>
  <c r="E1740" i="20"/>
  <c r="F1740" i="20" s="1"/>
  <c r="E388" i="20"/>
  <c r="F388" i="20" s="1"/>
  <c r="D389" i="20" s="1"/>
  <c r="B157" i="2"/>
  <c r="E1019" i="20"/>
  <c r="F1019" i="20" s="1"/>
  <c r="E1921" i="20"/>
  <c r="F1921" i="20" s="1"/>
  <c r="D1922" i="20" s="1"/>
  <c r="E1379" i="20"/>
  <c r="F1379" i="20" s="1"/>
  <c r="D1380" i="20" s="1"/>
  <c r="E299" i="20"/>
  <c r="F299" i="20" s="1"/>
  <c r="E660" i="20"/>
  <c r="F660" i="20" s="1"/>
  <c r="A69" i="34"/>
  <c r="E1289" i="20"/>
  <c r="F1289" i="20" s="1"/>
  <c r="D1290" i="20" s="1"/>
  <c r="E478" i="20"/>
  <c r="F478" i="20" s="1"/>
  <c r="D1198" i="20" l="1"/>
  <c r="E1198" i="20" s="1"/>
  <c r="F1198" i="20" s="1"/>
  <c r="D1830" i="20"/>
  <c r="E1830" i="20" s="1"/>
  <c r="F1830" i="20" s="1"/>
  <c r="D938" i="20"/>
  <c r="E938" i="20" s="1"/>
  <c r="F938" i="20" s="1"/>
  <c r="D1469" i="20"/>
  <c r="E1469" i="20" s="1"/>
  <c r="F1469" i="20" s="1"/>
  <c r="D1470" i="20" s="1"/>
  <c r="D1741" i="20"/>
  <c r="E1741" i="20" s="1"/>
  <c r="F1741" i="20" s="1"/>
  <c r="D1742" i="20" s="1"/>
  <c r="D300" i="20"/>
  <c r="D2012" i="20"/>
  <c r="D121" i="20"/>
  <c r="D1020" i="20"/>
  <c r="D210" i="20"/>
  <c r="D479" i="20"/>
  <c r="D661" i="20"/>
  <c r="E1380" i="20"/>
  <c r="F1380" i="20" s="1"/>
  <c r="E1922" i="20"/>
  <c r="F1922" i="20" s="1"/>
  <c r="D1923" i="20" s="1"/>
  <c r="D330" i="2"/>
  <c r="D328" i="2"/>
  <c r="E27" i="2"/>
  <c r="C48" i="13"/>
  <c r="C48" i="20"/>
  <c r="B158" i="2"/>
  <c r="D325" i="2"/>
  <c r="E389" i="20"/>
  <c r="F389" i="20" s="1"/>
  <c r="E748" i="20"/>
  <c r="F748" i="20" s="1"/>
  <c r="E1564" i="20"/>
  <c r="F1564" i="20" s="1"/>
  <c r="E1648" i="20"/>
  <c r="F1648" i="20" s="1"/>
  <c r="E839" i="20"/>
  <c r="F839" i="20" s="1"/>
  <c r="D840" i="20" s="1"/>
  <c r="E1290" i="20"/>
  <c r="F1290" i="20" s="1"/>
  <c r="A70" i="34"/>
  <c r="E570" i="20"/>
  <c r="F570" i="20" s="1"/>
  <c r="E118" i="13"/>
  <c r="F118" i="13" s="1"/>
  <c r="D119" i="13" s="1"/>
  <c r="E158" i="2"/>
  <c r="E1109" i="20"/>
  <c r="F1109" i="20" s="1"/>
  <c r="D1381" i="20" l="1"/>
  <c r="E1381" i="20" s="1"/>
  <c r="D390" i="20"/>
  <c r="E390" i="20" s="1"/>
  <c r="F390" i="20" s="1"/>
  <c r="D571" i="20"/>
  <c r="E571" i="20" s="1"/>
  <c r="F571" i="20" s="1"/>
  <c r="D939" i="20"/>
  <c r="D1199" i="20"/>
  <c r="D1565" i="20"/>
  <c r="D1291" i="20"/>
  <c r="D1110" i="20"/>
  <c r="D1649" i="20"/>
  <c r="D1831" i="20"/>
  <c r="D749" i="20"/>
  <c r="E1923" i="20"/>
  <c r="F1923" i="20" s="1"/>
  <c r="D1924" i="20" s="1"/>
  <c r="E479" i="20"/>
  <c r="F479" i="20" s="1"/>
  <c r="E2012" i="20"/>
  <c r="F2012" i="20" s="1"/>
  <c r="G118" i="13"/>
  <c r="B160" i="2"/>
  <c r="B161" i="2" s="1"/>
  <c r="E661" i="20"/>
  <c r="F661" i="20" s="1"/>
  <c r="D662" i="20" s="1"/>
  <c r="E121" i="20"/>
  <c r="F121" i="20" s="1"/>
  <c r="D122" i="20" s="1"/>
  <c r="E119" i="13"/>
  <c r="F119" i="13" s="1"/>
  <c r="D120" i="13" s="1"/>
  <c r="E840" i="20"/>
  <c r="F840" i="20" s="1"/>
  <c r="D841" i="20" s="1"/>
  <c r="E1470" i="20"/>
  <c r="F1470" i="20" s="1"/>
  <c r="E1742" i="20"/>
  <c r="F1742" i="20" s="1"/>
  <c r="E1020" i="20"/>
  <c r="F1020" i="20" s="1"/>
  <c r="A72" i="34"/>
  <c r="A74" i="34" s="1"/>
  <c r="A75" i="34" s="1"/>
  <c r="A76" i="34" s="1"/>
  <c r="A79" i="34" s="1"/>
  <c r="E210" i="20"/>
  <c r="F210" i="20" s="1"/>
  <c r="D211" i="20" s="1"/>
  <c r="E300" i="20"/>
  <c r="F300" i="20" s="1"/>
  <c r="D301" i="20" s="1"/>
  <c r="F1381" i="20" l="1"/>
  <c r="D1382" i="20" s="1"/>
  <c r="E1382" i="20" s="1"/>
  <c r="F1382" i="20" s="1"/>
  <c r="D2013" i="20"/>
  <c r="E2013" i="20" s="1"/>
  <c r="F2013" i="20" s="1"/>
  <c r="D2014" i="20" s="1"/>
  <c r="D1743" i="20"/>
  <c r="E1743" i="20" s="1"/>
  <c r="F1743" i="20" s="1"/>
  <c r="D1744" i="20" s="1"/>
  <c r="D572" i="20"/>
  <c r="E572" i="20" s="1"/>
  <c r="F572" i="20" s="1"/>
  <c r="D573" i="20" s="1"/>
  <c r="D480" i="20"/>
  <c r="D1471" i="20"/>
  <c r="D391" i="20"/>
  <c r="D1021" i="20"/>
  <c r="E301" i="20"/>
  <c r="F301" i="20" s="1"/>
  <c r="D302" i="20" s="1"/>
  <c r="E841" i="20"/>
  <c r="F841" i="20" s="1"/>
  <c r="D842" i="20" s="1"/>
  <c r="E122" i="20"/>
  <c r="F122" i="20" s="1"/>
  <c r="D123" i="20" s="1"/>
  <c r="E211" i="20"/>
  <c r="F211" i="20" s="1"/>
  <c r="D212" i="20" s="1"/>
  <c r="E749" i="20"/>
  <c r="F749" i="20" s="1"/>
  <c r="D750" i="20" s="1"/>
  <c r="E1291" i="20"/>
  <c r="F1291" i="20" s="1"/>
  <c r="C76" i="20"/>
  <c r="B162" i="2"/>
  <c r="B163" i="2" s="1"/>
  <c r="B165" i="2" s="1"/>
  <c r="C59" i="20"/>
  <c r="C59" i="13"/>
  <c r="C76" i="13"/>
  <c r="E31" i="2"/>
  <c r="E1649" i="20"/>
  <c r="F1649" i="20" s="1"/>
  <c r="D1650" i="20" s="1"/>
  <c r="E1199" i="20"/>
  <c r="F1199" i="20" s="1"/>
  <c r="D1200" i="20" s="1"/>
  <c r="A80" i="34"/>
  <c r="B84" i="34"/>
  <c r="E662" i="20"/>
  <c r="F662" i="20" s="1"/>
  <c r="E1831" i="20"/>
  <c r="F1831" i="20" s="1"/>
  <c r="E1565" i="20"/>
  <c r="F1565" i="20" s="1"/>
  <c r="E120" i="13"/>
  <c r="F120" i="13" s="1"/>
  <c r="E1924" i="20"/>
  <c r="F1924" i="20" s="1"/>
  <c r="G119" i="13"/>
  <c r="E1110" i="20"/>
  <c r="F1110" i="20" s="1"/>
  <c r="E939" i="20"/>
  <c r="F939" i="20" s="1"/>
  <c r="D940" i="20" s="1"/>
  <c r="E165" i="2" l="1"/>
  <c r="D1292" i="20"/>
  <c r="E1292" i="20" s="1"/>
  <c r="F1292" i="20" s="1"/>
  <c r="D1383" i="20"/>
  <c r="D121" i="13"/>
  <c r="G120" i="13"/>
  <c r="D1566" i="20"/>
  <c r="D1832" i="20"/>
  <c r="D1111" i="20"/>
  <c r="D1925" i="20"/>
  <c r="D663" i="20"/>
  <c r="E940" i="20"/>
  <c r="F940" i="20" s="1"/>
  <c r="E750" i="20"/>
  <c r="F750" i="20" s="1"/>
  <c r="D751" i="20" s="1"/>
  <c r="E2014" i="20"/>
  <c r="F2014" i="20" s="1"/>
  <c r="E1471" i="20"/>
  <c r="F1471" i="20" s="1"/>
  <c r="D1472" i="20" s="1"/>
  <c r="B167" i="2"/>
  <c r="B168" i="2" s="1"/>
  <c r="B169" i="2" s="1"/>
  <c r="E391" i="20"/>
  <c r="F391" i="20" s="1"/>
  <c r="A81" i="34"/>
  <c r="B85" i="34"/>
  <c r="E1200" i="20"/>
  <c r="F1200" i="20" s="1"/>
  <c r="E1650" i="20"/>
  <c r="F1650" i="20" s="1"/>
  <c r="E573" i="20"/>
  <c r="F573" i="20" s="1"/>
  <c r="D574" i="20" s="1"/>
  <c r="E1744" i="20"/>
  <c r="F1744" i="20" s="1"/>
  <c r="D1745" i="20" s="1"/>
  <c r="E212" i="20"/>
  <c r="F212" i="20" s="1"/>
  <c r="D213" i="20" s="1"/>
  <c r="E123" i="20"/>
  <c r="F123" i="20" s="1"/>
  <c r="E842" i="20"/>
  <c r="F842" i="20" s="1"/>
  <c r="E302" i="20"/>
  <c r="F302" i="20" s="1"/>
  <c r="E1021" i="20"/>
  <c r="F1021" i="20" s="1"/>
  <c r="D1022" i="20" s="1"/>
  <c r="E480" i="20"/>
  <c r="F480" i="20" s="1"/>
  <c r="D941" i="20" l="1"/>
  <c r="E941" i="20" s="1"/>
  <c r="F941" i="20" s="1"/>
  <c r="D942" i="20" s="1"/>
  <c r="D303" i="20"/>
  <c r="E303" i="20" s="1"/>
  <c r="F303" i="20" s="1"/>
  <c r="D124" i="20"/>
  <c r="E124" i="20" s="1"/>
  <c r="F124" i="20" s="1"/>
  <c r="D843" i="20"/>
  <c r="D2015" i="20"/>
  <c r="D481" i="20"/>
  <c r="D1293" i="20"/>
  <c r="D1651" i="20"/>
  <c r="D1201" i="20"/>
  <c r="D392" i="20"/>
  <c r="E574" i="20"/>
  <c r="F574" i="20" s="1"/>
  <c r="D575" i="20" s="1"/>
  <c r="B170" i="2"/>
  <c r="B171" i="2" s="1"/>
  <c r="B172" i="2" s="1"/>
  <c r="B173" i="2" s="1"/>
  <c r="B174" i="2" s="1"/>
  <c r="E1472" i="20"/>
  <c r="F1472" i="20" s="1"/>
  <c r="E1111" i="20"/>
  <c r="F1111" i="20" s="1"/>
  <c r="D1112" i="20" s="1"/>
  <c r="E121" i="13"/>
  <c r="F121" i="13" s="1"/>
  <c r="E1022" i="20"/>
  <c r="F1022" i="20" s="1"/>
  <c r="E213" i="20"/>
  <c r="F213" i="20" s="1"/>
  <c r="D214" i="20" s="1"/>
  <c r="E663" i="20"/>
  <c r="F663" i="20" s="1"/>
  <c r="D664" i="20" s="1"/>
  <c r="E1566" i="20"/>
  <c r="F1566" i="20" s="1"/>
  <c r="D1567" i="20" s="1"/>
  <c r="E1745" i="20"/>
  <c r="F1745" i="20" s="1"/>
  <c r="D1746" i="20" s="1"/>
  <c r="E751" i="20"/>
  <c r="F751" i="20" s="1"/>
  <c r="D752" i="20" s="1"/>
  <c r="E1925" i="20"/>
  <c r="F1925" i="20" s="1"/>
  <c r="A84" i="34"/>
  <c r="A85" i="34" s="1"/>
  <c r="A86" i="34" s="1"/>
  <c r="A87" i="34" s="1"/>
  <c r="A96" i="34" s="1"/>
  <c r="B86" i="34"/>
  <c r="E1832" i="20"/>
  <c r="F1832" i="20" s="1"/>
  <c r="D1833" i="20" s="1"/>
  <c r="E1383" i="20"/>
  <c r="F1383" i="20" s="1"/>
  <c r="D1384" i="20" s="1"/>
  <c r="E174" i="2" l="1"/>
  <c r="D122" i="13"/>
  <c r="E122" i="13" s="1"/>
  <c r="F122" i="13" s="1"/>
  <c r="G121" i="13"/>
  <c r="D125" i="20"/>
  <c r="D1473" i="20"/>
  <c r="D304" i="20"/>
  <c r="D1926" i="20"/>
  <c r="D1023" i="20"/>
  <c r="E1112" i="20"/>
  <c r="F1112" i="20" s="1"/>
  <c r="E2015" i="20"/>
  <c r="F2015" i="20" s="1"/>
  <c r="D2016" i="20" s="1"/>
  <c r="E1833" i="20"/>
  <c r="F1833" i="20" s="1"/>
  <c r="D1834" i="20" s="1"/>
  <c r="E575" i="20"/>
  <c r="F575" i="20" s="1"/>
  <c r="D576" i="20" s="1"/>
  <c r="E392" i="20"/>
  <c r="F392" i="20" s="1"/>
  <c r="E481" i="20"/>
  <c r="F481" i="20" s="1"/>
  <c r="B176" i="2"/>
  <c r="B177" i="2" s="1"/>
  <c r="E1293" i="20"/>
  <c r="F1293" i="20" s="1"/>
  <c r="E1384" i="20"/>
  <c r="F1384" i="20" s="1"/>
  <c r="D1385" i="20" s="1"/>
  <c r="E214" i="20"/>
  <c r="F214" i="20" s="1"/>
  <c r="D215" i="20" s="1"/>
  <c r="E1201" i="20"/>
  <c r="F1201" i="20" s="1"/>
  <c r="D1202" i="20" s="1"/>
  <c r="B183" i="34"/>
  <c r="A97" i="34"/>
  <c r="E752" i="20"/>
  <c r="F752" i="20" s="1"/>
  <c r="D753" i="20" s="1"/>
  <c r="E1746" i="20"/>
  <c r="F1746" i="20" s="1"/>
  <c r="E1567" i="20"/>
  <c r="F1567" i="20" s="1"/>
  <c r="D1568" i="20" s="1"/>
  <c r="E664" i="20"/>
  <c r="F664" i="20" s="1"/>
  <c r="D665" i="20" s="1"/>
  <c r="E942" i="20"/>
  <c r="F942" i="20" s="1"/>
  <c r="D943" i="20" s="1"/>
  <c r="E1651" i="20"/>
  <c r="F1651" i="20" s="1"/>
  <c r="E843" i="20"/>
  <c r="F843" i="20" s="1"/>
  <c r="D844" i="20" s="1"/>
  <c r="D482" i="20" l="1"/>
  <c r="E482" i="20" s="1"/>
  <c r="F482" i="20" s="1"/>
  <c r="D483" i="20" s="1"/>
  <c r="D393" i="20"/>
  <c r="E393" i="20" s="1"/>
  <c r="F393" i="20" s="1"/>
  <c r="D1113" i="20"/>
  <c r="D1652" i="20"/>
  <c r="D123" i="13"/>
  <c r="G122" i="13"/>
  <c r="D1747" i="20"/>
  <c r="D1294" i="20"/>
  <c r="E665" i="20"/>
  <c r="F665" i="20" s="1"/>
  <c r="E1834" i="20"/>
  <c r="F1834" i="20" s="1"/>
  <c r="E304" i="20"/>
  <c r="F304" i="20" s="1"/>
  <c r="B184" i="34"/>
  <c r="A98" i="34"/>
  <c r="E215" i="20"/>
  <c r="F215" i="20" s="1"/>
  <c r="D216" i="20" s="1"/>
  <c r="E1385" i="20"/>
  <c r="F1385" i="20" s="1"/>
  <c r="D1386" i="20" s="1"/>
  <c r="B178" i="2"/>
  <c r="D181" i="2"/>
  <c r="E1926" i="20"/>
  <c r="F1926" i="20" s="1"/>
  <c r="D1927" i="20" s="1"/>
  <c r="E844" i="20"/>
  <c r="F844" i="20" s="1"/>
  <c r="E943" i="20"/>
  <c r="F943" i="20" s="1"/>
  <c r="D944" i="20" s="1"/>
  <c r="E1568" i="20"/>
  <c r="F1568" i="20" s="1"/>
  <c r="E753" i="20"/>
  <c r="F753" i="20" s="1"/>
  <c r="E1202" i="20"/>
  <c r="F1202" i="20" s="1"/>
  <c r="E2016" i="20"/>
  <c r="F2016" i="20" s="1"/>
  <c r="E1473" i="20"/>
  <c r="F1473" i="20" s="1"/>
  <c r="D1474" i="20" s="1"/>
  <c r="E576" i="20"/>
  <c r="F576" i="20" s="1"/>
  <c r="E1023" i="20"/>
  <c r="F1023" i="20" s="1"/>
  <c r="E125" i="20"/>
  <c r="F125" i="20" s="1"/>
  <c r="D577" i="20" l="1"/>
  <c r="E577" i="20" s="1"/>
  <c r="F577" i="20" s="1"/>
  <c r="D126" i="20"/>
  <c r="D1835" i="20"/>
  <c r="D1024" i="20"/>
  <c r="D845" i="20"/>
  <c r="D666" i="20"/>
  <c r="D1569" i="20"/>
  <c r="D1203" i="20"/>
  <c r="D754" i="20"/>
  <c r="D394" i="20"/>
  <c r="D305" i="20"/>
  <c r="D2017" i="20"/>
  <c r="E1474" i="20"/>
  <c r="F1474" i="20" s="1"/>
  <c r="E1386" i="20"/>
  <c r="F1386" i="20" s="1"/>
  <c r="E216" i="20"/>
  <c r="F216" i="20" s="1"/>
  <c r="E123" i="13"/>
  <c r="F123" i="13" s="1"/>
  <c r="D124" i="13" s="1"/>
  <c r="C35" i="13"/>
  <c r="B179" i="2"/>
  <c r="B180" i="2" s="1"/>
  <c r="B181" i="2" s="1"/>
  <c r="C35" i="20"/>
  <c r="A99" i="34"/>
  <c r="B185" i="34"/>
  <c r="E1294" i="20"/>
  <c r="F1294" i="20" s="1"/>
  <c r="D1295" i="20" s="1"/>
  <c r="E1652" i="20"/>
  <c r="F1652" i="20" s="1"/>
  <c r="D1653" i="20" s="1"/>
  <c r="E944" i="20"/>
  <c r="F944" i="20" s="1"/>
  <c r="D945" i="20" s="1"/>
  <c r="E1927" i="20"/>
  <c r="F1927" i="20" s="1"/>
  <c r="D1928" i="20" s="1"/>
  <c r="E483" i="20"/>
  <c r="F483" i="20" s="1"/>
  <c r="D484" i="20" s="1"/>
  <c r="E1747" i="20"/>
  <c r="F1747" i="20" s="1"/>
  <c r="D1748" i="20" s="1"/>
  <c r="E1113" i="20"/>
  <c r="F1113" i="20" s="1"/>
  <c r="G123" i="13" l="1"/>
  <c r="D1475" i="20"/>
  <c r="D217" i="20"/>
  <c r="D1387" i="20"/>
  <c r="D1114" i="20"/>
  <c r="D578" i="20"/>
  <c r="E945" i="20"/>
  <c r="F945" i="20" s="1"/>
  <c r="E305" i="20"/>
  <c r="F305" i="20" s="1"/>
  <c r="D306" i="20" s="1"/>
  <c r="E1569" i="20"/>
  <c r="F1569" i="20" s="1"/>
  <c r="E124" i="13"/>
  <c r="F124" i="13" s="1"/>
  <c r="E2017" i="20"/>
  <c r="F2017" i="20" s="1"/>
  <c r="E1203" i="20"/>
  <c r="F1203" i="20" s="1"/>
  <c r="E1295" i="20"/>
  <c r="F1295" i="20" s="1"/>
  <c r="A100" i="34"/>
  <c r="A101" i="34" s="1"/>
  <c r="B186" i="34"/>
  <c r="E754" i="20"/>
  <c r="F754" i="20" s="1"/>
  <c r="D755" i="20" s="1"/>
  <c r="E845" i="20"/>
  <c r="F845" i="20" s="1"/>
  <c r="E1748" i="20"/>
  <c r="F1748" i="20" s="1"/>
  <c r="E484" i="20"/>
  <c r="F484" i="20" s="1"/>
  <c r="E1928" i="20"/>
  <c r="F1928" i="20" s="1"/>
  <c r="E1653" i="20"/>
  <c r="F1653" i="20" s="1"/>
  <c r="E1835" i="20"/>
  <c r="F1835" i="20" s="1"/>
  <c r="D1836" i="20" s="1"/>
  <c r="B182" i="2"/>
  <c r="E1024" i="20"/>
  <c r="F1024" i="20" s="1"/>
  <c r="E394" i="20"/>
  <c r="F394" i="20" s="1"/>
  <c r="D395" i="20" s="1"/>
  <c r="E666" i="20"/>
  <c r="F666" i="20" s="1"/>
  <c r="E126" i="20"/>
  <c r="F126" i="20" s="1"/>
  <c r="D1204" i="20" l="1"/>
  <c r="E1204" i="20" s="1"/>
  <c r="F1204" i="20" s="1"/>
  <c r="D1205" i="20" s="1"/>
  <c r="D1654" i="20"/>
  <c r="E1654" i="20" s="1"/>
  <c r="F1654" i="20" s="1"/>
  <c r="D1570" i="20"/>
  <c r="E1570" i="20" s="1"/>
  <c r="F1570" i="20" s="1"/>
  <c r="D1571" i="20" s="1"/>
  <c r="D1025" i="20"/>
  <c r="D946" i="20"/>
  <c r="D127" i="20"/>
  <c r="D1929" i="20"/>
  <c r="D2018" i="20"/>
  <c r="D846" i="20"/>
  <c r="D485" i="20"/>
  <c r="D667" i="20"/>
  <c r="D1749" i="20"/>
  <c r="D1296" i="20"/>
  <c r="D125" i="13"/>
  <c r="G124" i="13"/>
  <c r="E1387" i="20"/>
  <c r="F1387" i="20" s="1"/>
  <c r="D1388" i="20" s="1"/>
  <c r="B183" i="2"/>
  <c r="D355" i="2"/>
  <c r="E1836" i="20"/>
  <c r="F1836" i="20" s="1"/>
  <c r="E755" i="20"/>
  <c r="F755" i="20" s="1"/>
  <c r="E1114" i="20"/>
  <c r="F1114" i="20" s="1"/>
  <c r="D1115" i="20" s="1"/>
  <c r="E395" i="20"/>
  <c r="F395" i="20" s="1"/>
  <c r="E217" i="20"/>
  <c r="F217" i="20" s="1"/>
  <c r="A103" i="34"/>
  <c r="B150" i="34"/>
  <c r="E306" i="20"/>
  <c r="F306" i="20" s="1"/>
  <c r="E186" i="2"/>
  <c r="E578" i="20"/>
  <c r="F578" i="20" s="1"/>
  <c r="E1475" i="20"/>
  <c r="F1475" i="20" s="1"/>
  <c r="E1025" i="20" l="1"/>
  <c r="F1025" i="20" s="1"/>
  <c r="D1837" i="20"/>
  <c r="E1837" i="20" s="1"/>
  <c r="F1837" i="20" s="1"/>
  <c r="D1655" i="20"/>
  <c r="E1655" i="20" s="1"/>
  <c r="F1655" i="20" s="1"/>
  <c r="D307" i="20"/>
  <c r="E307" i="20" s="1"/>
  <c r="F307" i="20" s="1"/>
  <c r="D1476" i="20"/>
  <c r="D756" i="20"/>
  <c r="D579" i="20"/>
  <c r="D218" i="20"/>
  <c r="D396" i="20"/>
  <c r="E1115" i="20"/>
  <c r="F1115" i="20" s="1"/>
  <c r="B184" i="2"/>
  <c r="E187" i="2"/>
  <c r="E1571" i="20"/>
  <c r="F1571" i="20" s="1"/>
  <c r="E485" i="20"/>
  <c r="F485" i="20" s="1"/>
  <c r="E1749" i="20"/>
  <c r="F1749" i="20" s="1"/>
  <c r="E2018" i="20"/>
  <c r="F2018" i="20" s="1"/>
  <c r="A106" i="34"/>
  <c r="A107" i="34" s="1"/>
  <c r="A108" i="34" s="1"/>
  <c r="A109" i="34" s="1"/>
  <c r="A110" i="34" s="1"/>
  <c r="A111" i="34" s="1"/>
  <c r="A112" i="34" s="1"/>
  <c r="B100" i="34"/>
  <c r="E1205" i="20"/>
  <c r="F1205" i="20" s="1"/>
  <c r="E1388" i="20"/>
  <c r="F1388" i="20" s="1"/>
  <c r="E125" i="13"/>
  <c r="F125" i="13" s="1"/>
  <c r="E127" i="20"/>
  <c r="F127" i="20" s="1"/>
  <c r="E667" i="20"/>
  <c r="F667" i="20" s="1"/>
  <c r="E1929" i="20"/>
  <c r="F1929" i="20" s="1"/>
  <c r="E1296" i="20"/>
  <c r="F1296" i="20" s="1"/>
  <c r="D1297" i="20" s="1"/>
  <c r="E846" i="20"/>
  <c r="F846" i="20" s="1"/>
  <c r="D847" i="20" s="1"/>
  <c r="E946" i="20"/>
  <c r="F946" i="20" s="1"/>
  <c r="D1572" i="20" l="1"/>
  <c r="E1572" i="20" s="1"/>
  <c r="F1572" i="20" s="1"/>
  <c r="D1026" i="20"/>
  <c r="E1026" i="20" s="1"/>
  <c r="F1026" i="20" s="1"/>
  <c r="D1027" i="20" s="1"/>
  <c r="D486" i="20"/>
  <c r="E486" i="20" s="1"/>
  <c r="D1930" i="20"/>
  <c r="D2019" i="20"/>
  <c r="D128" i="20"/>
  <c r="D126" i="13"/>
  <c r="G125" i="13"/>
  <c r="D308" i="20"/>
  <c r="D947" i="20"/>
  <c r="D1206" i="20"/>
  <c r="D668" i="20"/>
  <c r="D1838" i="20"/>
  <c r="D1750" i="20"/>
  <c r="D1656" i="20"/>
  <c r="D1389" i="20"/>
  <c r="D1116" i="20"/>
  <c r="E847" i="20"/>
  <c r="F847" i="20" s="1"/>
  <c r="B185" i="2"/>
  <c r="E188" i="2"/>
  <c r="E1297" i="20"/>
  <c r="F1297" i="20" s="1"/>
  <c r="E218" i="20"/>
  <c r="F218" i="20" s="1"/>
  <c r="D219" i="20" s="1"/>
  <c r="E756" i="20"/>
  <c r="F756" i="20" s="1"/>
  <c r="D757" i="20" s="1"/>
  <c r="B166" i="34"/>
  <c r="A115" i="34"/>
  <c r="E579" i="20"/>
  <c r="F579" i="20" s="1"/>
  <c r="E396" i="20"/>
  <c r="F396" i="20" s="1"/>
  <c r="D397" i="20" s="1"/>
  <c r="E1476" i="20"/>
  <c r="F1476" i="20" s="1"/>
  <c r="D1477" i="20" s="1"/>
  <c r="F486" i="20" l="1"/>
  <c r="D487" i="20" s="1"/>
  <c r="E487" i="20" s="1"/>
  <c r="F487" i="20" s="1"/>
  <c r="D580" i="20"/>
  <c r="D1573" i="20"/>
  <c r="D848" i="20"/>
  <c r="D1298" i="20"/>
  <c r="E757" i="20"/>
  <c r="F757" i="20" s="1"/>
  <c r="D758" i="20" s="1"/>
  <c r="E668" i="20"/>
  <c r="F668" i="20" s="1"/>
  <c r="D669" i="20" s="1"/>
  <c r="E308" i="20"/>
  <c r="F308" i="20" s="1"/>
  <c r="E2019" i="20"/>
  <c r="F2019" i="20" s="1"/>
  <c r="D2020" i="20" s="1"/>
  <c r="E1116" i="20"/>
  <c r="F1116" i="20" s="1"/>
  <c r="D1117" i="20" s="1"/>
  <c r="E947" i="20"/>
  <c r="F947" i="20" s="1"/>
  <c r="D948" i="20" s="1"/>
  <c r="E1477" i="20"/>
  <c r="F1477" i="20" s="1"/>
  <c r="D1478" i="20" s="1"/>
  <c r="B186" i="2"/>
  <c r="B187" i="2" s="1"/>
  <c r="B188" i="2" s="1"/>
  <c r="B189" i="2" s="1"/>
  <c r="E1750" i="20"/>
  <c r="F1750" i="20" s="1"/>
  <c r="D1751" i="20" s="1"/>
  <c r="E1206" i="20"/>
  <c r="F1206" i="20" s="1"/>
  <c r="D1207" i="20" s="1"/>
  <c r="E126" i="13"/>
  <c r="F126" i="13" s="1"/>
  <c r="D127" i="13" s="1"/>
  <c r="E397" i="20"/>
  <c r="F397" i="20" s="1"/>
  <c r="E219" i="20"/>
  <c r="F219" i="20" s="1"/>
  <c r="D220" i="20" s="1"/>
  <c r="E1389" i="20"/>
  <c r="F1389" i="20" s="1"/>
  <c r="E1838" i="20"/>
  <c r="F1838" i="20" s="1"/>
  <c r="E128" i="20"/>
  <c r="F128" i="20" s="1"/>
  <c r="D129" i="20" s="1"/>
  <c r="A116" i="34"/>
  <c r="E1656" i="20"/>
  <c r="F1656" i="20" s="1"/>
  <c r="E1027" i="20"/>
  <c r="F1027" i="20" s="1"/>
  <c r="E1930" i="20"/>
  <c r="F1930" i="20" s="1"/>
  <c r="E189" i="2" l="1"/>
  <c r="D1657" i="20"/>
  <c r="E1657" i="20" s="1"/>
  <c r="F1657" i="20" s="1"/>
  <c r="D1390" i="20"/>
  <c r="E1390" i="20" s="1"/>
  <c r="F1390" i="20" s="1"/>
  <c r="D1028" i="20"/>
  <c r="D398" i="20"/>
  <c r="D1931" i="20"/>
  <c r="D488" i="20"/>
  <c r="D1839" i="20"/>
  <c r="D309" i="20"/>
  <c r="E129" i="20"/>
  <c r="F129" i="20" s="1"/>
  <c r="E127" i="13"/>
  <c r="F127" i="13" s="1"/>
  <c r="E1207" i="20"/>
  <c r="F1207" i="20" s="1"/>
  <c r="E1751" i="20"/>
  <c r="F1751" i="20" s="1"/>
  <c r="D1752" i="20" s="1"/>
  <c r="E1573" i="20"/>
  <c r="F1573" i="20" s="1"/>
  <c r="D1574" i="20" s="1"/>
  <c r="E848" i="20"/>
  <c r="F848" i="20" s="1"/>
  <c r="A117" i="34"/>
  <c r="A118" i="34" s="1"/>
  <c r="E220" i="20"/>
  <c r="F220" i="20" s="1"/>
  <c r="E1478" i="20"/>
  <c r="F1478" i="20" s="1"/>
  <c r="E948" i="20"/>
  <c r="F948" i="20" s="1"/>
  <c r="D949" i="20" s="1"/>
  <c r="E1117" i="20"/>
  <c r="F1117" i="20" s="1"/>
  <c r="E2020" i="20"/>
  <c r="F2020" i="20" s="1"/>
  <c r="D2021" i="20" s="1"/>
  <c r="E669" i="20"/>
  <c r="F669" i="20" s="1"/>
  <c r="D670" i="20" s="1"/>
  <c r="E758" i="20"/>
  <c r="F758" i="20" s="1"/>
  <c r="D759" i="20" s="1"/>
  <c r="E1298" i="20"/>
  <c r="F1298" i="20" s="1"/>
  <c r="G126" i="13"/>
  <c r="C50" i="20"/>
  <c r="C50" i="13"/>
  <c r="B191" i="2"/>
  <c r="E34" i="2" s="1"/>
  <c r="E580" i="20"/>
  <c r="F580" i="20" s="1"/>
  <c r="D1658" i="20" l="1"/>
  <c r="E1658" i="20" s="1"/>
  <c r="F1658" i="20" s="1"/>
  <c r="D1391" i="20"/>
  <c r="E1391" i="20" s="1"/>
  <c r="F1391" i="20" s="1"/>
  <c r="D221" i="20"/>
  <c r="E221" i="20" s="1"/>
  <c r="F221" i="20" s="1"/>
  <c r="D849" i="20"/>
  <c r="E849" i="20" s="1"/>
  <c r="F849" i="20" s="1"/>
  <c r="D130" i="20"/>
  <c r="D581" i="20"/>
  <c r="D1118" i="20"/>
  <c r="D128" i="13"/>
  <c r="G127" i="13"/>
  <c r="D1299" i="20"/>
  <c r="D1479" i="20"/>
  <c r="D1208" i="20"/>
  <c r="E759" i="20"/>
  <c r="F759" i="20" s="1"/>
  <c r="E2021" i="20"/>
  <c r="F2021" i="20" s="1"/>
  <c r="E1752" i="20"/>
  <c r="F1752" i="20" s="1"/>
  <c r="D1753" i="20" s="1"/>
  <c r="E309" i="20"/>
  <c r="F309" i="20" s="1"/>
  <c r="D310" i="20" s="1"/>
  <c r="A119" i="34"/>
  <c r="B119" i="34"/>
  <c r="C49" i="13"/>
  <c r="C49" i="20"/>
  <c r="B193" i="2"/>
  <c r="E185" i="2"/>
  <c r="B118" i="34"/>
  <c r="E1574" i="20"/>
  <c r="F1574" i="20" s="1"/>
  <c r="E488" i="20"/>
  <c r="F488" i="20" s="1"/>
  <c r="D489" i="20" s="1"/>
  <c r="E670" i="20"/>
  <c r="F670" i="20" s="1"/>
  <c r="E949" i="20"/>
  <c r="F949" i="20" s="1"/>
  <c r="D950" i="20" s="1"/>
  <c r="E398" i="20"/>
  <c r="F398" i="20" s="1"/>
  <c r="E1931" i="20"/>
  <c r="F1931" i="20" s="1"/>
  <c r="E1839" i="20"/>
  <c r="F1839" i="20" s="1"/>
  <c r="E1028" i="20"/>
  <c r="F1028" i="20" s="1"/>
  <c r="D1029" i="20" s="1"/>
  <c r="D760" i="20" l="1"/>
  <c r="E760" i="20" s="1"/>
  <c r="F760" i="20" s="1"/>
  <c r="D1840" i="20"/>
  <c r="E1840" i="20" s="1"/>
  <c r="F1840" i="20" s="1"/>
  <c r="D1841" i="20" s="1"/>
  <c r="D399" i="20"/>
  <c r="D671" i="20"/>
  <c r="D1392" i="20"/>
  <c r="D850" i="20"/>
  <c r="D1575" i="20"/>
  <c r="D1659" i="20"/>
  <c r="D1932" i="20"/>
  <c r="D222" i="20"/>
  <c r="D2022" i="20"/>
  <c r="E310" i="20"/>
  <c r="F310" i="20" s="1"/>
  <c r="E1479" i="20"/>
  <c r="F1479" i="20" s="1"/>
  <c r="E1208" i="20"/>
  <c r="F1208" i="20" s="1"/>
  <c r="D1209" i="20" s="1"/>
  <c r="E128" i="13"/>
  <c r="F128" i="13" s="1"/>
  <c r="E1029" i="20"/>
  <c r="F1029" i="20" s="1"/>
  <c r="D1030" i="20" s="1"/>
  <c r="E950" i="20"/>
  <c r="F950" i="20" s="1"/>
  <c r="D951" i="20" s="1"/>
  <c r="E489" i="20"/>
  <c r="F489" i="20" s="1"/>
  <c r="D490" i="20" s="1"/>
  <c r="A121" i="34"/>
  <c r="E1753" i="20"/>
  <c r="F1753" i="20" s="1"/>
  <c r="E1299" i="20"/>
  <c r="F1299" i="20" s="1"/>
  <c r="E581" i="20"/>
  <c r="F581" i="20" s="1"/>
  <c r="D582" i="20" s="1"/>
  <c r="E1118" i="20"/>
  <c r="F1118" i="20" s="1"/>
  <c r="D319" i="2"/>
  <c r="B195" i="2"/>
  <c r="E130" i="20"/>
  <c r="F130" i="20" s="1"/>
  <c r="D131" i="20" s="1"/>
  <c r="D311" i="20" l="1"/>
  <c r="E311" i="20" s="1"/>
  <c r="F311" i="20" s="1"/>
  <c r="D312" i="20" s="1"/>
  <c r="D1300" i="20"/>
  <c r="E1300" i="20" s="1"/>
  <c r="F1300" i="20" s="1"/>
  <c r="D1301" i="20" s="1"/>
  <c r="D761" i="20"/>
  <c r="D1754" i="20"/>
  <c r="D1480" i="20"/>
  <c r="D129" i="13"/>
  <c r="G128" i="13"/>
  <c r="D1119" i="20"/>
  <c r="A122" i="34"/>
  <c r="E951" i="20"/>
  <c r="F951" i="20" s="1"/>
  <c r="E1932" i="20"/>
  <c r="F1932" i="20" s="1"/>
  <c r="E850" i="20"/>
  <c r="F850" i="20" s="1"/>
  <c r="E131" i="20"/>
  <c r="F131" i="20" s="1"/>
  <c r="E1659" i="20"/>
  <c r="F1659" i="20" s="1"/>
  <c r="E671" i="20"/>
  <c r="F671" i="20" s="1"/>
  <c r="D672" i="20" s="1"/>
  <c r="E490" i="20"/>
  <c r="F490" i="20" s="1"/>
  <c r="E1030" i="20"/>
  <c r="F1030" i="20" s="1"/>
  <c r="E1209" i="20"/>
  <c r="F1209" i="20" s="1"/>
  <c r="D1210" i="20" s="1"/>
  <c r="E1392" i="20"/>
  <c r="F1392" i="20" s="1"/>
  <c r="E1841" i="20"/>
  <c r="F1841" i="20" s="1"/>
  <c r="D1842" i="20" s="1"/>
  <c r="E582" i="20"/>
  <c r="F582" i="20" s="1"/>
  <c r="E222" i="20"/>
  <c r="F222" i="20" s="1"/>
  <c r="D223" i="20" s="1"/>
  <c r="B197" i="2"/>
  <c r="D197" i="2"/>
  <c r="E2022" i="20"/>
  <c r="F2022" i="20" s="1"/>
  <c r="E1575" i="20"/>
  <c r="F1575" i="20" s="1"/>
  <c r="E399" i="20"/>
  <c r="F399" i="20" s="1"/>
  <c r="D1933" i="20" l="1"/>
  <c r="E1933" i="20" s="1"/>
  <c r="F1933" i="20" s="1"/>
  <c r="D1934" i="20" s="1"/>
  <c r="D132" i="20"/>
  <c r="E132" i="20" s="1"/>
  <c r="F132" i="20" s="1"/>
  <c r="D1031" i="20"/>
  <c r="E1031" i="20" s="1"/>
  <c r="D2023" i="20"/>
  <c r="D583" i="20"/>
  <c r="D1393" i="20"/>
  <c r="D952" i="20"/>
  <c r="D400" i="20"/>
  <c r="D851" i="20"/>
  <c r="D1576" i="20"/>
  <c r="D491" i="20"/>
  <c r="D1660" i="20"/>
  <c r="E1301" i="20"/>
  <c r="F1301" i="20" s="1"/>
  <c r="D1302" i="20" s="1"/>
  <c r="E672" i="20"/>
  <c r="F672" i="20" s="1"/>
  <c r="A123" i="34"/>
  <c r="A124" i="34" s="1"/>
  <c r="E129" i="13"/>
  <c r="F129" i="13" s="1"/>
  <c r="D130" i="13" s="1"/>
  <c r="E223" i="20"/>
  <c r="F223" i="20" s="1"/>
  <c r="E1119" i="20"/>
  <c r="F1119" i="20" s="1"/>
  <c r="D1120" i="20" s="1"/>
  <c r="E1754" i="20"/>
  <c r="F1754" i="20" s="1"/>
  <c r="E1842" i="20"/>
  <c r="F1842" i="20" s="1"/>
  <c r="D1843" i="20" s="1"/>
  <c r="E1210" i="20"/>
  <c r="F1210" i="20" s="1"/>
  <c r="E312" i="20"/>
  <c r="F312" i="20" s="1"/>
  <c r="E1480" i="20"/>
  <c r="F1480" i="20" s="1"/>
  <c r="B199" i="2"/>
  <c r="D200" i="2"/>
  <c r="E761" i="20"/>
  <c r="F761" i="20" s="1"/>
  <c r="F1031" i="20" l="1"/>
  <c r="D1032" i="20" s="1"/>
  <c r="E1032" i="20" s="1"/>
  <c r="F1032" i="20" s="1"/>
  <c r="D762" i="20"/>
  <c r="E762" i="20" s="1"/>
  <c r="F762" i="20" s="1"/>
  <c r="D1211" i="20"/>
  <c r="D133" i="20"/>
  <c r="D673" i="20"/>
  <c r="D224" i="20"/>
  <c r="D1481" i="20"/>
  <c r="D313" i="20"/>
  <c r="D1755" i="20"/>
  <c r="E1843" i="20"/>
  <c r="F1843" i="20" s="1"/>
  <c r="D1844" i="20" s="1"/>
  <c r="E1120" i="20"/>
  <c r="F1120" i="20" s="1"/>
  <c r="E130" i="13"/>
  <c r="F130" i="13" s="1"/>
  <c r="D131" i="13" s="1"/>
  <c r="E952" i="20"/>
  <c r="F952" i="20" s="1"/>
  <c r="D953" i="20" s="1"/>
  <c r="B124" i="34"/>
  <c r="E851" i="20"/>
  <c r="F851" i="20" s="1"/>
  <c r="E583" i="20"/>
  <c r="F583" i="20" s="1"/>
  <c r="E1576" i="20"/>
  <c r="F1576" i="20" s="1"/>
  <c r="D1577" i="20" s="1"/>
  <c r="E1393" i="20"/>
  <c r="F1393" i="20" s="1"/>
  <c r="D1394" i="20" s="1"/>
  <c r="E491" i="20"/>
  <c r="F491" i="20" s="1"/>
  <c r="E13" i="2"/>
  <c r="B212" i="2"/>
  <c r="G129" i="13"/>
  <c r="E1934" i="20"/>
  <c r="F1934" i="20" s="1"/>
  <c r="D1935" i="20" s="1"/>
  <c r="A125" i="34"/>
  <c r="B125" i="34"/>
  <c r="E1302" i="20"/>
  <c r="F1302" i="20" s="1"/>
  <c r="D1303" i="20" s="1"/>
  <c r="E1660" i="20"/>
  <c r="F1660" i="20" s="1"/>
  <c r="E400" i="20"/>
  <c r="F400" i="20" s="1"/>
  <c r="E2023" i="20"/>
  <c r="F2023" i="20" s="1"/>
  <c r="D2024" i="20" s="1"/>
  <c r="D852" i="20" l="1"/>
  <c r="E852" i="20" s="1"/>
  <c r="F852" i="20" s="1"/>
  <c r="D1033" i="20"/>
  <c r="E1033" i="20" s="1"/>
  <c r="F1033" i="20" s="1"/>
  <c r="D401" i="20"/>
  <c r="E401" i="20" s="1"/>
  <c r="F401" i="20" s="1"/>
  <c r="D402" i="20" s="1"/>
  <c r="D492" i="20"/>
  <c r="E492" i="20" s="1"/>
  <c r="F492" i="20" s="1"/>
  <c r="D1661" i="20"/>
  <c r="D584" i="20"/>
  <c r="D763" i="20"/>
  <c r="D1121" i="20"/>
  <c r="E2024" i="20"/>
  <c r="F2024" i="20" s="1"/>
  <c r="D2025" i="20" s="1"/>
  <c r="E1394" i="20"/>
  <c r="F1394" i="20" s="1"/>
  <c r="E1577" i="20"/>
  <c r="F1577" i="20" s="1"/>
  <c r="D1578" i="20" s="1"/>
  <c r="E1844" i="20"/>
  <c r="F1844" i="20" s="1"/>
  <c r="E224" i="20"/>
  <c r="F224" i="20" s="1"/>
  <c r="E1935" i="20"/>
  <c r="F1935" i="20" s="1"/>
  <c r="D1936" i="20" s="1"/>
  <c r="E953" i="20"/>
  <c r="F953" i="20" s="1"/>
  <c r="E131" i="13"/>
  <c r="F131" i="13" s="1"/>
  <c r="E1303" i="20"/>
  <c r="F1303" i="20" s="1"/>
  <c r="D1304" i="20" s="1"/>
  <c r="A127" i="34"/>
  <c r="B213" i="2"/>
  <c r="B214" i="2" s="1"/>
  <c r="B215" i="2" s="1"/>
  <c r="E313" i="20"/>
  <c r="F313" i="20" s="1"/>
  <c r="E133" i="20"/>
  <c r="F133" i="20" s="1"/>
  <c r="G130" i="13"/>
  <c r="E1755" i="20"/>
  <c r="F1755" i="20" s="1"/>
  <c r="E673" i="20"/>
  <c r="F673" i="20" s="1"/>
  <c r="E1481" i="20"/>
  <c r="F1481" i="20" s="1"/>
  <c r="E1211" i="20"/>
  <c r="F1211" i="20" s="1"/>
  <c r="D1756" i="20" l="1"/>
  <c r="E1756" i="20" s="1"/>
  <c r="F1756" i="20" s="1"/>
  <c r="D1482" i="20"/>
  <c r="E1482" i="20" s="1"/>
  <c r="F1482" i="20" s="1"/>
  <c r="D674" i="20"/>
  <c r="E674" i="20" s="1"/>
  <c r="F674" i="20" s="1"/>
  <c r="D675" i="20" s="1"/>
  <c r="D1034" i="20"/>
  <c r="E1034" i="20" s="1"/>
  <c r="F1034" i="20" s="1"/>
  <c r="D954" i="20"/>
  <c r="E954" i="20" s="1"/>
  <c r="F954" i="20" s="1"/>
  <c r="D955" i="20" s="1"/>
  <c r="D1395" i="20"/>
  <c r="D853" i="20"/>
  <c r="D134" i="20"/>
  <c r="D225" i="20"/>
  <c r="D132" i="13"/>
  <c r="G131" i="13"/>
  <c r="D1845" i="20"/>
  <c r="D1212" i="20"/>
  <c r="D314" i="20"/>
  <c r="D493" i="20"/>
  <c r="E217" i="2"/>
  <c r="E63" i="2"/>
  <c r="B217" i="2"/>
  <c r="B226" i="2" s="1"/>
  <c r="B227" i="2" s="1"/>
  <c r="B228" i="2" s="1"/>
  <c r="E1936" i="20"/>
  <c r="F1936" i="20" s="1"/>
  <c r="E402" i="20"/>
  <c r="F402" i="20" s="1"/>
  <c r="E1578" i="20"/>
  <c r="F1578" i="20" s="1"/>
  <c r="E2025" i="20"/>
  <c r="F2025" i="20" s="1"/>
  <c r="D2026" i="20" s="1"/>
  <c r="E1121" i="20"/>
  <c r="F1121" i="20" s="1"/>
  <c r="E1304" i="20"/>
  <c r="F1304" i="20" s="1"/>
  <c r="D1305" i="20" s="1"/>
  <c r="E1661" i="20"/>
  <c r="F1661" i="20" s="1"/>
  <c r="D1662" i="20" s="1"/>
  <c r="A128" i="34"/>
  <c r="E584" i="20"/>
  <c r="F584" i="20" s="1"/>
  <c r="D585" i="20" s="1"/>
  <c r="E215" i="2"/>
  <c r="E763" i="20"/>
  <c r="F763" i="20" s="1"/>
  <c r="D764" i="20" s="1"/>
  <c r="D1937" i="20" l="1"/>
  <c r="E1937" i="20" s="1"/>
  <c r="F1937" i="20" s="1"/>
  <c r="D1938" i="20" s="1"/>
  <c r="D1122" i="20"/>
  <c r="E1122" i="20" s="1"/>
  <c r="F1122" i="20" s="1"/>
  <c r="D1757" i="20"/>
  <c r="D1579" i="20"/>
  <c r="D1483" i="20"/>
  <c r="D1035" i="20"/>
  <c r="D403" i="20"/>
  <c r="E955" i="20"/>
  <c r="F955" i="20" s="1"/>
  <c r="D956" i="20" s="1"/>
  <c r="E1305" i="20"/>
  <c r="F1305" i="20" s="1"/>
  <c r="D1306" i="20" s="1"/>
  <c r="E675" i="20"/>
  <c r="F675" i="20" s="1"/>
  <c r="D676" i="20" s="1"/>
  <c r="E853" i="20"/>
  <c r="F853" i="20" s="1"/>
  <c r="E1662" i="20"/>
  <c r="F1662" i="20" s="1"/>
  <c r="E1845" i="20"/>
  <c r="F1845" i="20" s="1"/>
  <c r="D1846" i="20" s="1"/>
  <c r="E764" i="20"/>
  <c r="F764" i="20" s="1"/>
  <c r="D765" i="20" s="1"/>
  <c r="E585" i="20"/>
  <c r="F585" i="20" s="1"/>
  <c r="D586" i="20" s="1"/>
  <c r="A129" i="34"/>
  <c r="A130" i="34" s="1"/>
  <c r="E1212" i="20"/>
  <c r="F1212" i="20" s="1"/>
  <c r="D1213" i="20" s="1"/>
  <c r="E225" i="20"/>
  <c r="F225" i="20" s="1"/>
  <c r="E493" i="20"/>
  <c r="F493" i="20" s="1"/>
  <c r="D494" i="20" s="1"/>
  <c r="E2026" i="20"/>
  <c r="F2026" i="20" s="1"/>
  <c r="D2027" i="20" s="1"/>
  <c r="E134" i="20"/>
  <c r="F134" i="20" s="1"/>
  <c r="B229" i="2"/>
  <c r="B231" i="2" s="1"/>
  <c r="B232" i="2" s="1"/>
  <c r="B233" i="2" s="1"/>
  <c r="B235" i="2" s="1"/>
  <c r="B238" i="2" s="1"/>
  <c r="B239" i="2" s="1"/>
  <c r="E314" i="20"/>
  <c r="F314" i="20" s="1"/>
  <c r="E132" i="13"/>
  <c r="F132" i="13" s="1"/>
  <c r="E1395" i="20"/>
  <c r="F1395" i="20" s="1"/>
  <c r="D135" i="20" l="1"/>
  <c r="E135" i="20" s="1"/>
  <c r="D133" i="13"/>
  <c r="E133" i="13" s="1"/>
  <c r="F133" i="13" s="1"/>
  <c r="D134" i="13" s="1"/>
  <c r="G132" i="13"/>
  <c r="D1123" i="20"/>
  <c r="E1123" i="20" s="1"/>
  <c r="F1123" i="20" s="1"/>
  <c r="D315" i="20"/>
  <c r="D1396" i="20"/>
  <c r="D854" i="20"/>
  <c r="D226" i="20"/>
  <c r="D1663" i="20"/>
  <c r="E494" i="20"/>
  <c r="F494" i="20" s="1"/>
  <c r="A131" i="34"/>
  <c r="B131" i="34"/>
  <c r="E586" i="20"/>
  <c r="F586" i="20" s="1"/>
  <c r="E1846" i="20"/>
  <c r="F1846" i="20" s="1"/>
  <c r="D1847" i="20" s="1"/>
  <c r="E676" i="20"/>
  <c r="F676" i="20" s="1"/>
  <c r="E956" i="20"/>
  <c r="F956" i="20" s="1"/>
  <c r="E1579" i="20"/>
  <c r="F1579" i="20" s="1"/>
  <c r="D1580" i="20" s="1"/>
  <c r="B240" i="2"/>
  <c r="B241" i="2" s="1"/>
  <c r="B242" i="2" s="1"/>
  <c r="E1938" i="20"/>
  <c r="F1938" i="20" s="1"/>
  <c r="D1939" i="20" s="1"/>
  <c r="E2027" i="20"/>
  <c r="F2027" i="20" s="1"/>
  <c r="E1213" i="20"/>
  <c r="F1213" i="20" s="1"/>
  <c r="E1035" i="20"/>
  <c r="F1035" i="20" s="1"/>
  <c r="E765" i="20"/>
  <c r="F765" i="20" s="1"/>
  <c r="E1306" i="20"/>
  <c r="F1306" i="20" s="1"/>
  <c r="E1483" i="20"/>
  <c r="F1483" i="20" s="1"/>
  <c r="E233" i="2"/>
  <c r="B130" i="34"/>
  <c r="E403" i="20"/>
  <c r="F403" i="20" s="1"/>
  <c r="D404" i="20" s="1"/>
  <c r="E1757" i="20"/>
  <c r="F1757" i="20" s="1"/>
  <c r="F135" i="20" l="1"/>
  <c r="D136" i="20" s="1"/>
  <c r="E136" i="20" s="1"/>
  <c r="F136" i="20" s="1"/>
  <c r="D957" i="20"/>
  <c r="D1214" i="20"/>
  <c r="D1484" i="20"/>
  <c r="D587" i="20"/>
  <c r="D766" i="20"/>
  <c r="D1124" i="20"/>
  <c r="D677" i="20"/>
  <c r="D1758" i="20"/>
  <c r="D495" i="20"/>
  <c r="D1307" i="20"/>
  <c r="D1036" i="20"/>
  <c r="D2028" i="20"/>
  <c r="E1847" i="20"/>
  <c r="F1847" i="20" s="1"/>
  <c r="D1848" i="20" s="1"/>
  <c r="A133" i="34"/>
  <c r="E1396" i="20"/>
  <c r="F1396" i="20" s="1"/>
  <c r="D1397" i="20" s="1"/>
  <c r="E1939" i="20"/>
  <c r="F1939" i="20" s="1"/>
  <c r="D1940" i="20" s="1"/>
  <c r="E134" i="13"/>
  <c r="F134" i="13" s="1"/>
  <c r="E226" i="20"/>
  <c r="F226" i="20" s="1"/>
  <c r="E404" i="20"/>
  <c r="F404" i="20" s="1"/>
  <c r="E1580" i="20"/>
  <c r="F1580" i="20" s="1"/>
  <c r="E854" i="20"/>
  <c r="F854" i="20" s="1"/>
  <c r="B243" i="2"/>
  <c r="G133" i="13"/>
  <c r="E1663" i="20"/>
  <c r="F1663" i="20" s="1"/>
  <c r="E315" i="20"/>
  <c r="F315" i="20" s="1"/>
  <c r="D316" i="20" s="1"/>
  <c r="D855" i="20" l="1"/>
  <c r="E855" i="20" s="1"/>
  <c r="F855" i="20" s="1"/>
  <c r="D137" i="20"/>
  <c r="E137" i="20" s="1"/>
  <c r="D1581" i="20"/>
  <c r="D135" i="13"/>
  <c r="G134" i="13"/>
  <c r="D1664" i="20"/>
  <c r="D405" i="20"/>
  <c r="D227" i="20"/>
  <c r="E316" i="20"/>
  <c r="F316" i="20" s="1"/>
  <c r="D317" i="20" s="1"/>
  <c r="E1036" i="20"/>
  <c r="F1036" i="20" s="1"/>
  <c r="E677" i="20"/>
  <c r="F677" i="20" s="1"/>
  <c r="D678" i="20" s="1"/>
  <c r="E1484" i="20"/>
  <c r="F1484" i="20" s="1"/>
  <c r="E1940" i="20"/>
  <c r="F1940" i="20" s="1"/>
  <c r="D1941" i="20" s="1"/>
  <c r="E1848" i="20"/>
  <c r="F1848" i="20" s="1"/>
  <c r="E2028" i="20"/>
  <c r="F2028" i="20" s="1"/>
  <c r="D2029" i="20" s="1"/>
  <c r="E1758" i="20"/>
  <c r="F1758" i="20" s="1"/>
  <c r="D1759" i="20" s="1"/>
  <c r="E587" i="20"/>
  <c r="F587" i="20" s="1"/>
  <c r="E1397" i="20"/>
  <c r="F1397" i="20" s="1"/>
  <c r="D1398" i="20" s="1"/>
  <c r="E1307" i="20"/>
  <c r="F1307" i="20" s="1"/>
  <c r="E1124" i="20"/>
  <c r="F1124" i="20" s="1"/>
  <c r="D1125" i="20" s="1"/>
  <c r="E1214" i="20"/>
  <c r="F1214" i="20" s="1"/>
  <c r="D250" i="2"/>
  <c r="B244" i="2"/>
  <c r="A134" i="34"/>
  <c r="E495" i="20"/>
  <c r="F495" i="20" s="1"/>
  <c r="E766" i="20"/>
  <c r="F766" i="20" s="1"/>
  <c r="E957" i="20"/>
  <c r="F957" i="20" s="1"/>
  <c r="D1037" i="20" l="1"/>
  <c r="E1037" i="20" s="1"/>
  <c r="F1037" i="20" s="1"/>
  <c r="F137" i="20"/>
  <c r="D588" i="20"/>
  <c r="D1308" i="20"/>
  <c r="D1849" i="20"/>
  <c r="D856" i="20"/>
  <c r="D958" i="20"/>
  <c r="D496" i="20"/>
  <c r="D1215" i="20"/>
  <c r="D1485" i="20"/>
  <c r="D767" i="20"/>
  <c r="E1398" i="20"/>
  <c r="F1398" i="20" s="1"/>
  <c r="D1399" i="20" s="1"/>
  <c r="E317" i="20"/>
  <c r="F317" i="20" s="1"/>
  <c r="E1125" i="20"/>
  <c r="F1125" i="20" s="1"/>
  <c r="E2029" i="20"/>
  <c r="F2029" i="20" s="1"/>
  <c r="A135" i="34"/>
  <c r="A136" i="34" s="1"/>
  <c r="B245" i="2"/>
  <c r="B246" i="2" s="1"/>
  <c r="E1664" i="20"/>
  <c r="F1664" i="20" s="1"/>
  <c r="E1759" i="20"/>
  <c r="F1759" i="20" s="1"/>
  <c r="E1941" i="20"/>
  <c r="F1941" i="20" s="1"/>
  <c r="E678" i="20"/>
  <c r="F678" i="20" s="1"/>
  <c r="E227" i="20"/>
  <c r="F227" i="20" s="1"/>
  <c r="E135" i="13"/>
  <c r="F135" i="13" s="1"/>
  <c r="D136" i="13" s="1"/>
  <c r="E405" i="20"/>
  <c r="F405" i="20" s="1"/>
  <c r="E1581" i="20"/>
  <c r="F1581" i="20" s="1"/>
  <c r="D138" i="20" l="1"/>
  <c r="E138" i="20" s="1"/>
  <c r="F138" i="20" s="1"/>
  <c r="D139" i="20" s="1"/>
  <c r="E139" i="20" s="1"/>
  <c r="F139" i="20" s="1"/>
  <c r="D406" i="20"/>
  <c r="E406" i="20" s="1"/>
  <c r="F406" i="20" s="1"/>
  <c r="D407" i="20" s="1"/>
  <c r="D1760" i="20"/>
  <c r="E1760" i="20" s="1"/>
  <c r="F1760" i="20" s="1"/>
  <c r="D2030" i="20"/>
  <c r="E2030" i="20" s="1"/>
  <c r="F2030" i="20" s="1"/>
  <c r="D1942" i="20"/>
  <c r="D1665" i="20"/>
  <c r="D228" i="20"/>
  <c r="D318" i="20"/>
  <c r="D1038" i="20"/>
  <c r="D1582" i="20"/>
  <c r="D679" i="20"/>
  <c r="D1126" i="20"/>
  <c r="E1399" i="20"/>
  <c r="F1399" i="20" s="1"/>
  <c r="A137" i="34"/>
  <c r="B139" i="34"/>
  <c r="B137" i="34"/>
  <c r="E1215" i="20"/>
  <c r="F1215" i="20" s="1"/>
  <c r="D1216" i="20" s="1"/>
  <c r="E1849" i="20"/>
  <c r="F1849" i="20" s="1"/>
  <c r="D251" i="2"/>
  <c r="B249" i="2"/>
  <c r="E496" i="20"/>
  <c r="F496" i="20" s="1"/>
  <c r="G135" i="13"/>
  <c r="B136" i="34"/>
  <c r="E1485" i="20"/>
  <c r="F1485" i="20" s="1"/>
  <c r="E856" i="20"/>
  <c r="F856" i="20" s="1"/>
  <c r="D857" i="20" s="1"/>
  <c r="E136" i="13"/>
  <c r="F136" i="13" s="1"/>
  <c r="E1308" i="20"/>
  <c r="F1308" i="20" s="1"/>
  <c r="E246" i="2"/>
  <c r="E767" i="20"/>
  <c r="F767" i="20" s="1"/>
  <c r="D768" i="20" s="1"/>
  <c r="E958" i="20"/>
  <c r="F958" i="20" s="1"/>
  <c r="E588" i="20"/>
  <c r="F588" i="20" s="1"/>
  <c r="D589" i="20" l="1"/>
  <c r="E589" i="20" s="1"/>
  <c r="F589" i="20" s="1"/>
  <c r="D590" i="20" s="1"/>
  <c r="D140" i="20"/>
  <c r="E140" i="20" s="1"/>
  <c r="F140" i="20" s="1"/>
  <c r="D137" i="13"/>
  <c r="G136" i="13"/>
  <c r="D2031" i="20"/>
  <c r="D1850" i="20"/>
  <c r="D1761" i="20"/>
  <c r="D1486" i="20"/>
  <c r="D959" i="20"/>
  <c r="D1309" i="20"/>
  <c r="D497" i="20"/>
  <c r="D1400" i="20"/>
  <c r="E768" i="20"/>
  <c r="F768" i="20" s="1"/>
  <c r="E407" i="20"/>
  <c r="F407" i="20" s="1"/>
  <c r="D408" i="20" s="1"/>
  <c r="E1665" i="20"/>
  <c r="F1665" i="20" s="1"/>
  <c r="B250" i="2"/>
  <c r="B251" i="2" s="1"/>
  <c r="D252" i="2" s="1"/>
  <c r="E679" i="20"/>
  <c r="F679" i="20" s="1"/>
  <c r="D680" i="20" s="1"/>
  <c r="E228" i="20"/>
  <c r="F228" i="20" s="1"/>
  <c r="D229" i="20" s="1"/>
  <c r="E857" i="20"/>
  <c r="F857" i="20" s="1"/>
  <c r="D858" i="20" s="1"/>
  <c r="E1582" i="20"/>
  <c r="F1582" i="20" s="1"/>
  <c r="E1216" i="20"/>
  <c r="F1216" i="20" s="1"/>
  <c r="E1126" i="20"/>
  <c r="F1126" i="20" s="1"/>
  <c r="E318" i="20"/>
  <c r="F318" i="20" s="1"/>
  <c r="D319" i="20" s="1"/>
  <c r="A139" i="34"/>
  <c r="B140" i="34"/>
  <c r="E1038" i="20"/>
  <c r="F1038" i="20" s="1"/>
  <c r="E1942" i="20"/>
  <c r="F1942" i="20" s="1"/>
  <c r="D366" i="2" l="1"/>
  <c r="C19" i="20"/>
  <c r="C19" i="13"/>
  <c r="D1127" i="20"/>
  <c r="D769" i="20"/>
  <c r="D1039" i="20"/>
  <c r="D1217" i="20"/>
  <c r="D1583" i="20"/>
  <c r="D1943" i="20"/>
  <c r="D1666" i="20"/>
  <c r="D141" i="20"/>
  <c r="E1486" i="20"/>
  <c r="F1486" i="20" s="1"/>
  <c r="E959" i="20"/>
  <c r="F959" i="20" s="1"/>
  <c r="E2031" i="20"/>
  <c r="F2031" i="20" s="1"/>
  <c r="D2032" i="20" s="1"/>
  <c r="E590" i="20"/>
  <c r="F590" i="20" s="1"/>
  <c r="E408" i="20"/>
  <c r="F408" i="20" s="1"/>
  <c r="E319" i="20"/>
  <c r="F319" i="20" s="1"/>
  <c r="D320" i="20" s="1"/>
  <c r="B144" i="34"/>
  <c r="B151" i="34"/>
  <c r="A140" i="34"/>
  <c r="B202" i="34"/>
  <c r="E229" i="20"/>
  <c r="F229" i="20" s="1"/>
  <c r="E680" i="20"/>
  <c r="F680" i="20" s="1"/>
  <c r="E1309" i="20"/>
  <c r="F1309" i="20" s="1"/>
  <c r="E1850" i="20"/>
  <c r="F1850" i="20" s="1"/>
  <c r="D1851" i="20" s="1"/>
  <c r="E1400" i="20"/>
  <c r="F1400" i="20" s="1"/>
  <c r="E858" i="20"/>
  <c r="F858" i="20" s="1"/>
  <c r="C16" i="20"/>
  <c r="C16" i="13"/>
  <c r="B252" i="2"/>
  <c r="E497" i="20"/>
  <c r="F497" i="20" s="1"/>
  <c r="E1761" i="20"/>
  <c r="F1761" i="20" s="1"/>
  <c r="E137" i="13"/>
  <c r="F137" i="13" s="1"/>
  <c r="D859" i="20" l="1"/>
  <c r="E859" i="20" s="1"/>
  <c r="F859" i="20" s="1"/>
  <c r="D1762" i="20"/>
  <c r="E1762" i="20" s="1"/>
  <c r="F1762" i="20" s="1"/>
  <c r="D1310" i="20"/>
  <c r="D960" i="20"/>
  <c r="E960" i="20" s="1"/>
  <c r="F960" i="20" s="1"/>
  <c r="D961" i="20" s="1"/>
  <c r="D681" i="20"/>
  <c r="D1401" i="20"/>
  <c r="D409" i="20"/>
  <c r="D230" i="20"/>
  <c r="D138" i="13"/>
  <c r="G137" i="13"/>
  <c r="D498" i="20"/>
  <c r="D591" i="20"/>
  <c r="D1487" i="20"/>
  <c r="E1943" i="20"/>
  <c r="F1943" i="20" s="1"/>
  <c r="D1944" i="20" s="1"/>
  <c r="E769" i="20"/>
  <c r="F769" i="20" s="1"/>
  <c r="E1666" i="20"/>
  <c r="F1666" i="20" s="1"/>
  <c r="D1667" i="20" s="1"/>
  <c r="E1039" i="20"/>
  <c r="F1039" i="20" s="1"/>
  <c r="B256" i="2"/>
  <c r="B257" i="2" s="1"/>
  <c r="B258" i="2" s="1"/>
  <c r="B259" i="2" s="1"/>
  <c r="B260" i="2" s="1"/>
  <c r="E191" i="2"/>
  <c r="D179" i="2"/>
  <c r="E1851" i="20"/>
  <c r="F1851" i="20" s="1"/>
  <c r="E320" i="20"/>
  <c r="F320" i="20" s="1"/>
  <c r="E2032" i="20"/>
  <c r="F2032" i="20" s="1"/>
  <c r="D2033" i="20" s="1"/>
  <c r="A143" i="34"/>
  <c r="B167" i="34"/>
  <c r="E141" i="20"/>
  <c r="F141" i="20" s="1"/>
  <c r="D142" i="20" s="1"/>
  <c r="E1217" i="20"/>
  <c r="F1217" i="20" s="1"/>
  <c r="E1583" i="20"/>
  <c r="F1583" i="20" s="1"/>
  <c r="D1584" i="20" s="1"/>
  <c r="E1127" i="20"/>
  <c r="F1127" i="20" s="1"/>
  <c r="E1667" i="20" l="1"/>
  <c r="F1667" i="20" s="1"/>
  <c r="D1668" i="20" s="1"/>
  <c r="E1310" i="20"/>
  <c r="F1310" i="20" s="1"/>
  <c r="D321" i="20"/>
  <c r="E321" i="20" s="1"/>
  <c r="D860" i="20"/>
  <c r="D1040" i="20"/>
  <c r="D1128" i="20"/>
  <c r="D1763" i="20"/>
  <c r="D770" i="20"/>
  <c r="D1852" i="20"/>
  <c r="D1218" i="20"/>
  <c r="A144" i="34"/>
  <c r="A145" i="34" s="1"/>
  <c r="B206" i="34"/>
  <c r="E2033" i="20"/>
  <c r="F2033" i="20" s="1"/>
  <c r="B261" i="2"/>
  <c r="B262" i="2" s="1"/>
  <c r="B263" i="2" s="1"/>
  <c r="B264" i="2" s="1"/>
  <c r="B266" i="2" s="1"/>
  <c r="B267" i="2" s="1"/>
  <c r="B268" i="2" s="1"/>
  <c r="B269" i="2" s="1"/>
  <c r="B270" i="2" s="1"/>
  <c r="E498" i="20"/>
  <c r="F498" i="20" s="1"/>
  <c r="D499" i="20" s="1"/>
  <c r="E409" i="20"/>
  <c r="F409" i="20" s="1"/>
  <c r="E1944" i="20"/>
  <c r="F1944" i="20" s="1"/>
  <c r="E591" i="20"/>
  <c r="F591" i="20" s="1"/>
  <c r="E230" i="20"/>
  <c r="F230" i="20" s="1"/>
  <c r="D231" i="20" s="1"/>
  <c r="E1584" i="20"/>
  <c r="F1584" i="20" s="1"/>
  <c r="E142" i="20"/>
  <c r="F142" i="20" s="1"/>
  <c r="E961" i="20"/>
  <c r="F961" i="20" s="1"/>
  <c r="E1401" i="20"/>
  <c r="F1401" i="20" s="1"/>
  <c r="E1487" i="20"/>
  <c r="F1487" i="20" s="1"/>
  <c r="E138" i="13"/>
  <c r="F138" i="13" s="1"/>
  <c r="E681" i="20"/>
  <c r="F681" i="20" s="1"/>
  <c r="D682" i="20" s="1"/>
  <c r="E1668" i="20" l="1"/>
  <c r="F1668" i="20" s="1"/>
  <c r="D1669" i="20" s="1"/>
  <c r="F321" i="20"/>
  <c r="D322" i="20" s="1"/>
  <c r="E322" i="20" s="1"/>
  <c r="F322" i="20" s="1"/>
  <c r="D323" i="20" s="1"/>
  <c r="D1488" i="20"/>
  <c r="E1488" i="20" s="1"/>
  <c r="F1488" i="20" s="1"/>
  <c r="D1311" i="20"/>
  <c r="E1311" i="20" s="1"/>
  <c r="F1311" i="20" s="1"/>
  <c r="D1312" i="20" s="1"/>
  <c r="D1585" i="20"/>
  <c r="E1585" i="20" s="1"/>
  <c r="F1585" i="20" s="1"/>
  <c r="D143" i="20"/>
  <c r="E143" i="20" s="1"/>
  <c r="F143" i="20" s="1"/>
  <c r="D2034" i="20"/>
  <c r="D139" i="13"/>
  <c r="G138" i="13"/>
  <c r="D410" i="20"/>
  <c r="D962" i="20"/>
  <c r="D1945" i="20"/>
  <c r="D1402" i="20"/>
  <c r="D592" i="20"/>
  <c r="E682" i="20"/>
  <c r="F682" i="20" s="1"/>
  <c r="D683" i="20" s="1"/>
  <c r="E1040" i="20"/>
  <c r="F1040" i="20" s="1"/>
  <c r="D1041" i="20" s="1"/>
  <c r="E1218" i="20"/>
  <c r="F1218" i="20" s="1"/>
  <c r="E1128" i="20"/>
  <c r="F1128" i="20" s="1"/>
  <c r="A146" i="34"/>
  <c r="B208" i="34"/>
  <c r="E1763" i="20"/>
  <c r="F1763" i="20" s="1"/>
  <c r="E231" i="20"/>
  <c r="F231" i="20" s="1"/>
  <c r="E499" i="20"/>
  <c r="F499" i="20" s="1"/>
  <c r="D500" i="20" s="1"/>
  <c r="E1852" i="20"/>
  <c r="F1852" i="20" s="1"/>
  <c r="D1853" i="20" s="1"/>
  <c r="E264" i="2"/>
  <c r="E770" i="20"/>
  <c r="F770" i="20" s="1"/>
  <c r="D771" i="20" s="1"/>
  <c r="E860" i="20"/>
  <c r="F860" i="20" s="1"/>
  <c r="D861" i="20" s="1"/>
  <c r="E1669" i="20" l="1"/>
  <c r="F1669" i="20" s="1"/>
  <c r="D1670" i="20" s="1"/>
  <c r="D1129" i="20"/>
  <c r="D144" i="20"/>
  <c r="D1219" i="20"/>
  <c r="D1586" i="20"/>
  <c r="D1489" i="20"/>
  <c r="D232" i="20"/>
  <c r="D1764" i="20"/>
  <c r="E1853" i="20"/>
  <c r="F1853" i="20" s="1"/>
  <c r="D1854" i="20" s="1"/>
  <c r="E500" i="20"/>
  <c r="F500" i="20" s="1"/>
  <c r="E592" i="20"/>
  <c r="F592" i="20" s="1"/>
  <c r="D593" i="20" s="1"/>
  <c r="E962" i="20"/>
  <c r="F962" i="20" s="1"/>
  <c r="D963" i="20" s="1"/>
  <c r="E1945" i="20"/>
  <c r="F1945" i="20" s="1"/>
  <c r="E861" i="20"/>
  <c r="F861" i="20" s="1"/>
  <c r="E771" i="20"/>
  <c r="F771" i="20" s="1"/>
  <c r="E323" i="20"/>
  <c r="F323" i="20" s="1"/>
  <c r="A147" i="34"/>
  <c r="B209" i="34"/>
  <c r="E1041" i="20"/>
  <c r="F1041" i="20" s="1"/>
  <c r="E683" i="20"/>
  <c r="F683" i="20" s="1"/>
  <c r="D684" i="20" s="1"/>
  <c r="E2034" i="20"/>
  <c r="F2034" i="20" s="1"/>
  <c r="D2035" i="20" s="1"/>
  <c r="E139" i="13"/>
  <c r="F139" i="13" s="1"/>
  <c r="E1402" i="20"/>
  <c r="F1402" i="20" s="1"/>
  <c r="D1403" i="20" s="1"/>
  <c r="E410" i="20"/>
  <c r="F410" i="20" s="1"/>
  <c r="E1312" i="20"/>
  <c r="F1312" i="20" s="1"/>
  <c r="D1313" i="20" s="1"/>
  <c r="E1670" i="20" l="1"/>
  <c r="F1670" i="20" s="1"/>
  <c r="D1671" i="20" s="1"/>
  <c r="D772" i="20"/>
  <c r="D140" i="13"/>
  <c r="G139" i="13"/>
  <c r="D1946" i="20"/>
  <c r="D862" i="20"/>
  <c r="D411" i="20"/>
  <c r="D1042" i="20"/>
  <c r="D324" i="20"/>
  <c r="D501" i="20"/>
  <c r="E232" i="20"/>
  <c r="F232" i="20" s="1"/>
  <c r="D233" i="20" s="1"/>
  <c r="E144" i="20"/>
  <c r="F144" i="20" s="1"/>
  <c r="E2035" i="20"/>
  <c r="F2035" i="20" s="1"/>
  <c r="E684" i="20"/>
  <c r="F684" i="20" s="1"/>
  <c r="B152" i="34"/>
  <c r="A150" i="34"/>
  <c r="E1586" i="20"/>
  <c r="F1586" i="20" s="1"/>
  <c r="D1587" i="20" s="1"/>
  <c r="E1313" i="20"/>
  <c r="F1313" i="20" s="1"/>
  <c r="D1314" i="20" s="1"/>
  <c r="E1403" i="20"/>
  <c r="F1403" i="20" s="1"/>
  <c r="D1404" i="20" s="1"/>
  <c r="E963" i="20"/>
  <c r="F963" i="20" s="1"/>
  <c r="D964" i="20" s="1"/>
  <c r="E593" i="20"/>
  <c r="F593" i="20" s="1"/>
  <c r="E1854" i="20"/>
  <c r="F1854" i="20" s="1"/>
  <c r="E1764" i="20"/>
  <c r="F1764" i="20" s="1"/>
  <c r="E1219" i="20"/>
  <c r="F1219" i="20" s="1"/>
  <c r="D1220" i="20" s="1"/>
  <c r="E1489" i="20"/>
  <c r="F1489" i="20" s="1"/>
  <c r="D1490" i="20" s="1"/>
  <c r="E1129" i="20"/>
  <c r="F1129" i="20" s="1"/>
  <c r="E1671" i="20" l="1"/>
  <c r="F1671" i="20" s="1"/>
  <c r="D1672" i="20" s="1"/>
  <c r="D1855" i="20"/>
  <c r="E1855" i="20" s="1"/>
  <c r="F1855" i="20" s="1"/>
  <c r="D2036" i="20"/>
  <c r="D1130" i="20"/>
  <c r="D1765" i="20"/>
  <c r="D594" i="20"/>
  <c r="D145" i="20"/>
  <c r="D685" i="20"/>
  <c r="E964" i="20"/>
  <c r="F964" i="20" s="1"/>
  <c r="E1404" i="20"/>
  <c r="F1404" i="20" s="1"/>
  <c r="D1405" i="20" s="1"/>
  <c r="E1314" i="20"/>
  <c r="F1314" i="20" s="1"/>
  <c r="E1587" i="20"/>
  <c r="F1587" i="20" s="1"/>
  <c r="E233" i="20"/>
  <c r="F233" i="20" s="1"/>
  <c r="D234" i="20" s="1"/>
  <c r="E140" i="13"/>
  <c r="F140" i="13" s="1"/>
  <c r="E324" i="20"/>
  <c r="F324" i="20" s="1"/>
  <c r="E1946" i="20"/>
  <c r="F1946" i="20" s="1"/>
  <c r="E1490" i="20"/>
  <c r="F1490" i="20" s="1"/>
  <c r="E411" i="20"/>
  <c r="F411" i="20" s="1"/>
  <c r="E1220" i="20"/>
  <c r="F1220" i="20" s="1"/>
  <c r="E1042" i="20"/>
  <c r="F1042" i="20" s="1"/>
  <c r="D1043" i="20" s="1"/>
  <c r="A151" i="34"/>
  <c r="E501" i="20"/>
  <c r="F501" i="20" s="1"/>
  <c r="D502" i="20" s="1"/>
  <c r="E862" i="20"/>
  <c r="F862" i="20" s="1"/>
  <c r="E772" i="20"/>
  <c r="F772" i="20" s="1"/>
  <c r="D773" i="20" s="1"/>
  <c r="E1672" i="20" l="1"/>
  <c r="F1672" i="20" s="1"/>
  <c r="D1673" i="20" s="1"/>
  <c r="D1491" i="20"/>
  <c r="E1491" i="20" s="1"/>
  <c r="F1491" i="20" s="1"/>
  <c r="D1492" i="20" s="1"/>
  <c r="D1315" i="20"/>
  <c r="E1315" i="20" s="1"/>
  <c r="F1315" i="20" s="1"/>
  <c r="D1588" i="20"/>
  <c r="E1588" i="20" s="1"/>
  <c r="F1588" i="20" s="1"/>
  <c r="D965" i="20"/>
  <c r="E965" i="20" s="1"/>
  <c r="F965" i="20" s="1"/>
  <c r="D966" i="20" s="1"/>
  <c r="D1947" i="20"/>
  <c r="E1947" i="20" s="1"/>
  <c r="F1947" i="20" s="1"/>
  <c r="D412" i="20"/>
  <c r="E412" i="20" s="1"/>
  <c r="F412" i="20" s="1"/>
  <c r="D1856" i="20"/>
  <c r="D863" i="20"/>
  <c r="D325" i="20"/>
  <c r="D1221" i="20"/>
  <c r="D141" i="13"/>
  <c r="G140" i="13"/>
  <c r="E773" i="20"/>
  <c r="F773" i="20" s="1"/>
  <c r="D774" i="20" s="1"/>
  <c r="E234" i="20"/>
  <c r="F234" i="20" s="1"/>
  <c r="E1130" i="20"/>
  <c r="F1130" i="20" s="1"/>
  <c r="D1131" i="20" s="1"/>
  <c r="E1405" i="20"/>
  <c r="F1405" i="20" s="1"/>
  <c r="D1406" i="20" s="1"/>
  <c r="A152" i="34"/>
  <c r="E1043" i="20"/>
  <c r="F1043" i="20" s="1"/>
  <c r="D1044" i="20" s="1"/>
  <c r="E502" i="20"/>
  <c r="F502" i="20" s="1"/>
  <c r="D503" i="20" s="1"/>
  <c r="E145" i="20"/>
  <c r="F145" i="20" s="1"/>
  <c r="E685" i="20"/>
  <c r="F685" i="20" s="1"/>
  <c r="E1765" i="20"/>
  <c r="F1765" i="20" s="1"/>
  <c r="E594" i="20"/>
  <c r="F594" i="20" s="1"/>
  <c r="E2036" i="20"/>
  <c r="F2036" i="20" s="1"/>
  <c r="E1673" i="20" l="1"/>
  <c r="F1673" i="20" s="1"/>
  <c r="D1674" i="20" s="1"/>
  <c r="D1316" i="20"/>
  <c r="E1316" i="20" s="1"/>
  <c r="F1316" i="20" s="1"/>
  <c r="D686" i="20"/>
  <c r="E686" i="20" s="1"/>
  <c r="D595" i="20"/>
  <c r="E595" i="20" s="1"/>
  <c r="F595" i="20" s="1"/>
  <c r="D146" i="20"/>
  <c r="D1589" i="20"/>
  <c r="D1948" i="20"/>
  <c r="D2037" i="20"/>
  <c r="D1766" i="20"/>
  <c r="D413" i="20"/>
  <c r="D235" i="20"/>
  <c r="E1044" i="20"/>
  <c r="F1044" i="20" s="1"/>
  <c r="E966" i="20"/>
  <c r="F966" i="20" s="1"/>
  <c r="E1406" i="20"/>
  <c r="F1406" i="20" s="1"/>
  <c r="E1131" i="20"/>
  <c r="F1131" i="20" s="1"/>
  <c r="D1132" i="20" s="1"/>
  <c r="E863" i="20"/>
  <c r="F863" i="20" s="1"/>
  <c r="D864" i="20" s="1"/>
  <c r="E325" i="20"/>
  <c r="F325" i="20" s="1"/>
  <c r="D326" i="20" s="1"/>
  <c r="E1492" i="20"/>
  <c r="F1492" i="20" s="1"/>
  <c r="D1493" i="20" s="1"/>
  <c r="E774" i="20"/>
  <c r="F774" i="20" s="1"/>
  <c r="E503" i="20"/>
  <c r="F503" i="20" s="1"/>
  <c r="D504" i="20" s="1"/>
  <c r="E1221" i="20"/>
  <c r="F1221" i="20" s="1"/>
  <c r="A153" i="34"/>
  <c r="B157" i="34" s="1"/>
  <c r="E141" i="13"/>
  <c r="F141" i="13" s="1"/>
  <c r="E1856" i="20"/>
  <c r="F1856" i="20" s="1"/>
  <c r="E1674" i="20" l="1"/>
  <c r="F1674" i="20" s="1"/>
  <c r="D1675" i="20" s="1"/>
  <c r="F686" i="20"/>
  <c r="D687" i="20" s="1"/>
  <c r="E687" i="20" s="1"/>
  <c r="F687" i="20" s="1"/>
  <c r="D142" i="13"/>
  <c r="E142" i="13" s="1"/>
  <c r="F142" i="13" s="1"/>
  <c r="G141" i="13"/>
  <c r="D1045" i="20"/>
  <c r="E1045" i="20" s="1"/>
  <c r="F1045" i="20" s="1"/>
  <c r="D1046" i="20" s="1"/>
  <c r="D1317" i="20"/>
  <c r="D1857" i="20"/>
  <c r="D596" i="20"/>
  <c r="D775" i="20"/>
  <c r="D1407" i="20"/>
  <c r="D1222" i="20"/>
  <c r="D967" i="20"/>
  <c r="E1589" i="20"/>
  <c r="F1589" i="20" s="1"/>
  <c r="E864" i="20"/>
  <c r="F864" i="20" s="1"/>
  <c r="E1132" i="20"/>
  <c r="F1132" i="20" s="1"/>
  <c r="E326" i="20"/>
  <c r="F326" i="20" s="1"/>
  <c r="E2037" i="20"/>
  <c r="F2037" i="20" s="1"/>
  <c r="D2038" i="20" s="1"/>
  <c r="E504" i="20"/>
  <c r="F504" i="20" s="1"/>
  <c r="E1493" i="20"/>
  <c r="F1493" i="20" s="1"/>
  <c r="D1494" i="20" s="1"/>
  <c r="E413" i="20"/>
  <c r="F413" i="20" s="1"/>
  <c r="D414" i="20" s="1"/>
  <c r="E235" i="20"/>
  <c r="F235" i="20" s="1"/>
  <c r="E1948" i="20"/>
  <c r="F1948" i="20" s="1"/>
  <c r="D1949" i="20" s="1"/>
  <c r="A155" i="34"/>
  <c r="B155" i="34"/>
  <c r="B156" i="34"/>
  <c r="E1766" i="20"/>
  <c r="F1766" i="20" s="1"/>
  <c r="E146" i="20"/>
  <c r="F146" i="20" s="1"/>
  <c r="E1675" i="20" l="1"/>
  <c r="F1675" i="20" s="1"/>
  <c r="D1676" i="20" s="1"/>
  <c r="D147" i="20"/>
  <c r="E147" i="20" s="1"/>
  <c r="F147" i="20" s="1"/>
  <c r="D505" i="20"/>
  <c r="D236" i="20"/>
  <c r="D1590" i="20"/>
  <c r="D688" i="20"/>
  <c r="D143" i="13"/>
  <c r="G142" i="13"/>
  <c r="D1133" i="20"/>
  <c r="D1767" i="20"/>
  <c r="D327" i="20"/>
  <c r="D865" i="20"/>
  <c r="E1949" i="20"/>
  <c r="F1949" i="20" s="1"/>
  <c r="D1950" i="20" s="1"/>
  <c r="E2038" i="20"/>
  <c r="F2038" i="20" s="1"/>
  <c r="E1046" i="20"/>
  <c r="F1046" i="20" s="1"/>
  <c r="E967" i="20"/>
  <c r="F967" i="20" s="1"/>
  <c r="D968" i="20" s="1"/>
  <c r="E1222" i="20"/>
  <c r="F1222" i="20" s="1"/>
  <c r="E1857" i="20"/>
  <c r="F1857" i="20" s="1"/>
  <c r="D1858" i="20" s="1"/>
  <c r="A156" i="34"/>
  <c r="E414" i="20"/>
  <c r="F414" i="20" s="1"/>
  <c r="E1494" i="20"/>
  <c r="F1494" i="20" s="1"/>
  <c r="D1495" i="20" s="1"/>
  <c r="E596" i="20"/>
  <c r="F596" i="20" s="1"/>
  <c r="E775" i="20"/>
  <c r="F775" i="20" s="1"/>
  <c r="E1407" i="20"/>
  <c r="F1407" i="20" s="1"/>
  <c r="D1408" i="20" s="1"/>
  <c r="E1317" i="20"/>
  <c r="F1317" i="20" s="1"/>
  <c r="E1676" i="20" l="1"/>
  <c r="F1676" i="20" s="1"/>
  <c r="D1677" i="20" s="1"/>
  <c r="D776" i="20"/>
  <c r="E776" i="20" s="1"/>
  <c r="F776" i="20" s="1"/>
  <c r="D597" i="20"/>
  <c r="E597" i="20" s="1"/>
  <c r="F597" i="20" s="1"/>
  <c r="D598" i="20" s="1"/>
  <c r="D415" i="20"/>
  <c r="D1318" i="20"/>
  <c r="D1047" i="20"/>
  <c r="D1223" i="20"/>
  <c r="D148" i="20"/>
  <c r="D2039" i="20"/>
  <c r="E1408" i="20"/>
  <c r="F1408" i="20" s="1"/>
  <c r="D1409" i="20" s="1"/>
  <c r="E1858" i="20"/>
  <c r="F1858" i="20" s="1"/>
  <c r="E968" i="20"/>
  <c r="F968" i="20" s="1"/>
  <c r="D969" i="20" s="1"/>
  <c r="E1950" i="20"/>
  <c r="F1950" i="20" s="1"/>
  <c r="E865" i="20"/>
  <c r="F865" i="20" s="1"/>
  <c r="E236" i="20"/>
  <c r="F236" i="20" s="1"/>
  <c r="A157" i="34"/>
  <c r="E1133" i="20"/>
  <c r="F1133" i="20" s="1"/>
  <c r="E1590" i="20"/>
  <c r="F1590" i="20" s="1"/>
  <c r="D1591" i="20" s="1"/>
  <c r="E1495" i="20"/>
  <c r="F1495" i="20" s="1"/>
  <c r="E1767" i="20"/>
  <c r="F1767" i="20" s="1"/>
  <c r="E688" i="20"/>
  <c r="F688" i="20" s="1"/>
  <c r="E327" i="20"/>
  <c r="F327" i="20" s="1"/>
  <c r="D328" i="20" s="1"/>
  <c r="E143" i="13"/>
  <c r="F143" i="13" s="1"/>
  <c r="D144" i="13" s="1"/>
  <c r="E505" i="20"/>
  <c r="F505" i="20" s="1"/>
  <c r="E1677" i="20" l="1"/>
  <c r="F1677" i="20" s="1"/>
  <c r="D1678" i="20" s="1"/>
  <c r="D506" i="20"/>
  <c r="E506" i="20" s="1"/>
  <c r="F506" i="20" s="1"/>
  <c r="E415" i="20"/>
  <c r="F415" i="20" s="1"/>
  <c r="D689" i="20"/>
  <c r="E689" i="20" s="1"/>
  <c r="F689" i="20" s="1"/>
  <c r="G143" i="13"/>
  <c r="D1768" i="20"/>
  <c r="D866" i="20"/>
  <c r="D1951" i="20"/>
  <c r="D1496" i="20"/>
  <c r="D1134" i="20"/>
  <c r="D1859" i="20"/>
  <c r="D777" i="20"/>
  <c r="D237" i="20"/>
  <c r="E1409" i="20"/>
  <c r="F1409" i="20" s="1"/>
  <c r="A159" i="34"/>
  <c r="A161" i="34" s="1"/>
  <c r="A162" i="34" s="1"/>
  <c r="A163" i="34" s="1"/>
  <c r="A166" i="34" s="1"/>
  <c r="E1223" i="20"/>
  <c r="F1223" i="20" s="1"/>
  <c r="E144" i="13"/>
  <c r="F144" i="13" s="1"/>
  <c r="D145" i="13" s="1"/>
  <c r="E328" i="20"/>
  <c r="F328" i="20" s="1"/>
  <c r="E148" i="20"/>
  <c r="F148" i="20" s="1"/>
  <c r="E598" i="20"/>
  <c r="F598" i="20" s="1"/>
  <c r="E1591" i="20"/>
  <c r="F1591" i="20" s="1"/>
  <c r="E969" i="20"/>
  <c r="F969" i="20" s="1"/>
  <c r="E1047" i="20"/>
  <c r="F1047" i="20" s="1"/>
  <c r="E2039" i="20"/>
  <c r="F2039" i="20" s="1"/>
  <c r="E1318" i="20"/>
  <c r="F1318" i="20" s="1"/>
  <c r="D1319" i="20" s="1"/>
  <c r="E1678" i="20" l="1"/>
  <c r="F1678" i="20" s="1"/>
  <c r="D1679" i="20" s="1"/>
  <c r="D416" i="20"/>
  <c r="D1592" i="20"/>
  <c r="E1592" i="20" s="1"/>
  <c r="D599" i="20"/>
  <c r="E599" i="20" s="1"/>
  <c r="F599" i="20" s="1"/>
  <c r="D1048" i="20"/>
  <c r="E1048" i="20" s="1"/>
  <c r="F1048" i="20" s="1"/>
  <c r="D970" i="20"/>
  <c r="E970" i="20" s="1"/>
  <c r="E971" i="20" s="1"/>
  <c r="D1224" i="20"/>
  <c r="D1410" i="20"/>
  <c r="D2040" i="20"/>
  <c r="D329" i="20"/>
  <c r="D149" i="20"/>
  <c r="D690" i="20"/>
  <c r="D507" i="20"/>
  <c r="E145" i="13"/>
  <c r="F145" i="13" s="1"/>
  <c r="E866" i="20"/>
  <c r="F866" i="20" s="1"/>
  <c r="D867" i="20" s="1"/>
  <c r="E237" i="20"/>
  <c r="F237" i="20" s="1"/>
  <c r="E1496" i="20"/>
  <c r="F1496" i="20" s="1"/>
  <c r="D1497" i="20" s="1"/>
  <c r="E1319" i="20"/>
  <c r="F1319" i="20" s="1"/>
  <c r="E1859" i="20"/>
  <c r="F1859" i="20" s="1"/>
  <c r="D1860" i="20" s="1"/>
  <c r="E777" i="20"/>
  <c r="F777" i="20" s="1"/>
  <c r="D778" i="20" s="1"/>
  <c r="E1951" i="20"/>
  <c r="F1951" i="20" s="1"/>
  <c r="G144" i="13"/>
  <c r="A167" i="34"/>
  <c r="B171" i="34"/>
  <c r="E1134" i="20"/>
  <c r="F1134" i="20" s="1"/>
  <c r="E1768" i="20"/>
  <c r="F1768" i="20" s="1"/>
  <c r="D1769" i="20" s="1"/>
  <c r="E1679" i="20" l="1"/>
  <c r="F1679" i="20" s="1"/>
  <c r="D1680" i="20" s="1"/>
  <c r="F1592" i="20"/>
  <c r="D1593" i="20" s="1"/>
  <c r="E1593" i="20" s="1"/>
  <c r="F1593" i="20" s="1"/>
  <c r="E416" i="20"/>
  <c r="F416" i="20" s="1"/>
  <c r="D1320" i="20"/>
  <c r="E1320" i="20" s="1"/>
  <c r="D238" i="20"/>
  <c r="E238" i="20" s="1"/>
  <c r="F238" i="20" s="1"/>
  <c r="D600" i="20"/>
  <c r="D1952" i="20"/>
  <c r="D1049" i="20"/>
  <c r="D1135" i="20"/>
  <c r="D146" i="13"/>
  <c r="G145" i="13"/>
  <c r="E690" i="20"/>
  <c r="F690" i="20" s="1"/>
  <c r="E1410" i="20"/>
  <c r="F1410" i="20" s="1"/>
  <c r="D1411" i="20" s="1"/>
  <c r="E778" i="20"/>
  <c r="F778" i="20" s="1"/>
  <c r="D779" i="20" s="1"/>
  <c r="E1497" i="20"/>
  <c r="F1497" i="20" s="1"/>
  <c r="E329" i="20"/>
  <c r="F329" i="20" s="1"/>
  <c r="E867" i="20"/>
  <c r="F867" i="20" s="1"/>
  <c r="D868" i="20" s="1"/>
  <c r="E1860" i="20"/>
  <c r="F1860" i="20" s="1"/>
  <c r="E507" i="20"/>
  <c r="F507" i="20" s="1"/>
  <c r="D508" i="20" s="1"/>
  <c r="E2040" i="20"/>
  <c r="F2040" i="20" s="1"/>
  <c r="D2041" i="20" s="1"/>
  <c r="E1769" i="20"/>
  <c r="F1769" i="20" s="1"/>
  <c r="D1770" i="20" s="1"/>
  <c r="A168" i="34"/>
  <c r="B172" i="34"/>
  <c r="F970" i="20"/>
  <c r="E149" i="20"/>
  <c r="F149" i="20" s="1"/>
  <c r="E1224" i="20"/>
  <c r="F1224" i="20" s="1"/>
  <c r="D1225" i="20" s="1"/>
  <c r="E1680" i="20" l="1"/>
  <c r="F1680" i="20" s="1"/>
  <c r="D1681" i="20" s="1"/>
  <c r="D417" i="20"/>
  <c r="D330" i="20"/>
  <c r="E330" i="20" s="1"/>
  <c r="F1320" i="20"/>
  <c r="D1321" i="20" s="1"/>
  <c r="E1321" i="20" s="1"/>
  <c r="F1321" i="20" s="1"/>
  <c r="D239" i="20"/>
  <c r="D1498" i="20"/>
  <c r="D691" i="20"/>
  <c r="D150" i="20"/>
  <c r="D1594" i="20"/>
  <c r="D1861" i="20"/>
  <c r="E1225" i="20"/>
  <c r="F1225" i="20" s="1"/>
  <c r="E2041" i="20"/>
  <c r="F2041" i="20" s="1"/>
  <c r="E1411" i="20"/>
  <c r="F1411" i="20" s="1"/>
  <c r="E1952" i="20"/>
  <c r="F1952" i="20" s="1"/>
  <c r="A171" i="34"/>
  <c r="A172" i="34" s="1"/>
  <c r="A173" i="34" s="1"/>
  <c r="A174" i="34" s="1"/>
  <c r="A183" i="34" s="1"/>
  <c r="A184" i="34" s="1"/>
  <c r="A185" i="34" s="1"/>
  <c r="A186" i="34" s="1"/>
  <c r="A187" i="34" s="1"/>
  <c r="A188" i="34" s="1"/>
  <c r="B173" i="34"/>
  <c r="E1135" i="20"/>
  <c r="F1135" i="20" s="1"/>
  <c r="D1136" i="20" s="1"/>
  <c r="E1770" i="20"/>
  <c r="F1770" i="20" s="1"/>
  <c r="E508" i="20"/>
  <c r="F508" i="20" s="1"/>
  <c r="E868" i="20"/>
  <c r="F868" i="20" s="1"/>
  <c r="E779" i="20"/>
  <c r="F779" i="20" s="1"/>
  <c r="E1049" i="20"/>
  <c r="F1049" i="20" s="1"/>
  <c r="E146" i="13"/>
  <c r="F146" i="13" s="1"/>
  <c r="E600" i="20"/>
  <c r="F600" i="20" s="1"/>
  <c r="E1681" i="20" l="1"/>
  <c r="F1681" i="20" s="1"/>
  <c r="D1682" i="20" s="1"/>
  <c r="F330" i="20"/>
  <c r="D331" i="20" s="1"/>
  <c r="E331" i="20" s="1"/>
  <c r="F331" i="20" s="1"/>
  <c r="D332" i="20" s="1"/>
  <c r="E417" i="20"/>
  <c r="F417" i="20" s="1"/>
  <c r="D418" i="20" s="1"/>
  <c r="D1226" i="20"/>
  <c r="E1226" i="20" s="1"/>
  <c r="F1226" i="20" s="1"/>
  <c r="D1227" i="20" s="1"/>
  <c r="D1771" i="20"/>
  <c r="E1771" i="20" s="1"/>
  <c r="F1771" i="20" s="1"/>
  <c r="D1772" i="20" s="1"/>
  <c r="D780" i="20"/>
  <c r="D1050" i="20"/>
  <c r="D1953" i="20"/>
  <c r="D1322" i="20"/>
  <c r="D147" i="13"/>
  <c r="G146" i="13"/>
  <c r="D2042" i="20"/>
  <c r="D869" i="20"/>
  <c r="D601" i="20"/>
  <c r="D509" i="20"/>
  <c r="D1412" i="20"/>
  <c r="E1136" i="20"/>
  <c r="F1136" i="20" s="1"/>
  <c r="D1137" i="20" s="1"/>
  <c r="B213" i="34"/>
  <c r="A190" i="34"/>
  <c r="E150" i="20"/>
  <c r="F150" i="20" s="1"/>
  <c r="E1498" i="20"/>
  <c r="F1498" i="20" s="1"/>
  <c r="E1861" i="20"/>
  <c r="F1861" i="20" s="1"/>
  <c r="D1862" i="20" s="1"/>
  <c r="E691" i="20"/>
  <c r="F691" i="20" s="1"/>
  <c r="D692" i="20" s="1"/>
  <c r="E1594" i="20"/>
  <c r="F1594" i="20" s="1"/>
  <c r="D1595" i="20" s="1"/>
  <c r="E239" i="20"/>
  <c r="F239" i="20" s="1"/>
  <c r="E1682" i="20" l="1"/>
  <c r="F1682" i="20" s="1"/>
  <c r="D1683" i="20" s="1"/>
  <c r="E418" i="20"/>
  <c r="F418" i="20" s="1"/>
  <c r="D240" i="20"/>
  <c r="E240" i="20" s="1"/>
  <c r="F240" i="20" s="1"/>
  <c r="D1499" i="20"/>
  <c r="D151" i="20"/>
  <c r="E1595" i="20"/>
  <c r="F1595" i="20" s="1"/>
  <c r="E692" i="20"/>
  <c r="F692" i="20" s="1"/>
  <c r="D693" i="20" s="1"/>
  <c r="E1227" i="20"/>
  <c r="F1227" i="20" s="1"/>
  <c r="E1772" i="20"/>
  <c r="F1772" i="20" s="1"/>
  <c r="D1773" i="20" s="1"/>
  <c r="E1137" i="20"/>
  <c r="F1137" i="20" s="1"/>
  <c r="E601" i="20"/>
  <c r="F601" i="20" s="1"/>
  <c r="D602" i="20" s="1"/>
  <c r="E147" i="13"/>
  <c r="F147" i="13" s="1"/>
  <c r="B187" i="34"/>
  <c r="A193" i="34"/>
  <c r="A194" i="34" s="1"/>
  <c r="A195" i="34" s="1"/>
  <c r="A196" i="34" s="1"/>
  <c r="A197" i="34" s="1"/>
  <c r="A198" i="34" s="1"/>
  <c r="A199" i="34" s="1"/>
  <c r="E1412" i="20"/>
  <c r="F1412" i="20" s="1"/>
  <c r="D1413" i="20" s="1"/>
  <c r="E2042" i="20"/>
  <c r="F2042" i="20" s="1"/>
  <c r="E1953" i="20"/>
  <c r="F1953" i="20" s="1"/>
  <c r="D1954" i="20" s="1"/>
  <c r="E1862" i="20"/>
  <c r="F1862" i="20" s="1"/>
  <c r="D1863" i="20" s="1"/>
  <c r="E332" i="20"/>
  <c r="F332" i="20" s="1"/>
  <c r="E780" i="20"/>
  <c r="F780" i="20" s="1"/>
  <c r="D781" i="20" s="1"/>
  <c r="E509" i="20"/>
  <c r="F509" i="20" s="1"/>
  <c r="E1050" i="20"/>
  <c r="F1050" i="20" s="1"/>
  <c r="E869" i="20"/>
  <c r="F869" i="20" s="1"/>
  <c r="E1322" i="20"/>
  <c r="F1322" i="20" s="1"/>
  <c r="D1323" i="20" s="1"/>
  <c r="E1683" i="20" l="1"/>
  <c r="F1683" i="20" s="1"/>
  <c r="D419" i="20"/>
  <c r="D870" i="20"/>
  <c r="E870" i="20" s="1"/>
  <c r="F870" i="20" s="1"/>
  <c r="D1051" i="20"/>
  <c r="E1051" i="20" s="1"/>
  <c r="D1138" i="20"/>
  <c r="E1138" i="20" s="1"/>
  <c r="F1138" i="20" s="1"/>
  <c r="D1139" i="20" s="1"/>
  <c r="D241" i="20"/>
  <c r="E241" i="20" s="1"/>
  <c r="D148" i="13"/>
  <c r="E148" i="13" s="1"/>
  <c r="F148" i="13" s="1"/>
  <c r="D149" i="13" s="1"/>
  <c r="G147" i="13"/>
  <c r="D510" i="20"/>
  <c r="D2043" i="20"/>
  <c r="D333" i="20"/>
  <c r="D1228" i="20"/>
  <c r="D1596" i="20"/>
  <c r="E1413" i="20"/>
  <c r="F1413" i="20" s="1"/>
  <c r="E257" i="2"/>
  <c r="A202" i="34"/>
  <c r="B229" i="34"/>
  <c r="E602" i="20"/>
  <c r="F602" i="20" s="1"/>
  <c r="D603" i="20" s="1"/>
  <c r="E1773" i="20"/>
  <c r="F1773" i="20" s="1"/>
  <c r="D1774" i="20" s="1"/>
  <c r="E693" i="20"/>
  <c r="F693" i="20" s="1"/>
  <c r="D694" i="20" s="1"/>
  <c r="E1323" i="20"/>
  <c r="F1323" i="20" s="1"/>
  <c r="E781" i="20"/>
  <c r="F781" i="20" s="1"/>
  <c r="E1954" i="20"/>
  <c r="F1954" i="20" s="1"/>
  <c r="E151" i="20"/>
  <c r="F151" i="20" s="1"/>
  <c r="D152" i="20" s="1"/>
  <c r="E1863" i="20"/>
  <c r="F1863" i="20" s="1"/>
  <c r="D1864" i="20" s="1"/>
  <c r="E1499" i="20"/>
  <c r="F1499" i="20" s="1"/>
  <c r="D1684" i="20" l="1"/>
  <c r="F1051" i="20"/>
  <c r="D1052" i="20" s="1"/>
  <c r="E1052" i="20" s="1"/>
  <c r="F1052" i="20" s="1"/>
  <c r="D1053" i="20" s="1"/>
  <c r="E419" i="20"/>
  <c r="F419" i="20" s="1"/>
  <c r="D420" i="20" s="1"/>
  <c r="D871" i="20"/>
  <c r="E871" i="20" s="1"/>
  <c r="F241" i="20"/>
  <c r="D1500" i="20"/>
  <c r="D1414" i="20"/>
  <c r="D1955" i="20"/>
  <c r="D782" i="20"/>
  <c r="D1324" i="20"/>
  <c r="E1139" i="20"/>
  <c r="F1139" i="20" s="1"/>
  <c r="E333" i="20"/>
  <c r="F333" i="20" s="1"/>
  <c r="E152" i="20"/>
  <c r="F152" i="20" s="1"/>
  <c r="G148" i="13"/>
  <c r="E1228" i="20"/>
  <c r="F1228" i="20" s="1"/>
  <c r="D1229" i="20" s="1"/>
  <c r="E1864" i="20"/>
  <c r="F1864" i="20" s="1"/>
  <c r="E694" i="20"/>
  <c r="F694" i="20" s="1"/>
  <c r="D695" i="20" s="1"/>
  <c r="E1774" i="20"/>
  <c r="F1774" i="20" s="1"/>
  <c r="E603" i="20"/>
  <c r="F603" i="20" s="1"/>
  <c r="D604" i="20" s="1"/>
  <c r="E149" i="13"/>
  <c r="F149" i="13" s="1"/>
  <c r="E2043" i="20"/>
  <c r="F2043" i="20" s="1"/>
  <c r="D2044" i="20" s="1"/>
  <c r="A203" i="34"/>
  <c r="B214" i="34"/>
  <c r="B207" i="34"/>
  <c r="E1596" i="20"/>
  <c r="F1596" i="20" s="1"/>
  <c r="E510" i="20"/>
  <c r="F510" i="20" s="1"/>
  <c r="D511" i="20" s="1"/>
  <c r="E1684" i="20" l="1"/>
  <c r="F1684" i="20" s="1"/>
  <c r="D1685" i="20" s="1"/>
  <c r="E420" i="20"/>
  <c r="F420" i="20" s="1"/>
  <c r="D421" i="20" s="1"/>
  <c r="F871" i="20"/>
  <c r="D872" i="20" s="1"/>
  <c r="E872" i="20" s="1"/>
  <c r="D1597" i="20"/>
  <c r="E1597" i="20" s="1"/>
  <c r="F1597" i="20" s="1"/>
  <c r="D1775" i="20"/>
  <c r="E1775" i="20" s="1"/>
  <c r="F1775" i="20" s="1"/>
  <c r="D1776" i="20" s="1"/>
  <c r="D150" i="13"/>
  <c r="E150" i="13" s="1"/>
  <c r="G149" i="13"/>
  <c r="D242" i="20"/>
  <c r="E242" i="20" s="1"/>
  <c r="F242" i="20" s="1"/>
  <c r="D243" i="20" s="1"/>
  <c r="D1140" i="20"/>
  <c r="D1865" i="20"/>
  <c r="D153" i="20"/>
  <c r="D334" i="20"/>
  <c r="E1053" i="20"/>
  <c r="F1053" i="20" s="1"/>
  <c r="D1054" i="20" s="1"/>
  <c r="E1324" i="20"/>
  <c r="F1324" i="20" s="1"/>
  <c r="D1325" i="20" s="1"/>
  <c r="E1500" i="20"/>
  <c r="F1500" i="20" s="1"/>
  <c r="D1501" i="20" s="1"/>
  <c r="E604" i="20"/>
  <c r="F604" i="20" s="1"/>
  <c r="E695" i="20"/>
  <c r="F695" i="20" s="1"/>
  <c r="E1229" i="20"/>
  <c r="F1229" i="20" s="1"/>
  <c r="D1230" i="20" s="1"/>
  <c r="E1414" i="20"/>
  <c r="F1414" i="20" s="1"/>
  <c r="E511" i="20"/>
  <c r="F511" i="20" s="1"/>
  <c r="E2044" i="20"/>
  <c r="F2044" i="20" s="1"/>
  <c r="E1955" i="20"/>
  <c r="F1955" i="20" s="1"/>
  <c r="B230" i="34"/>
  <c r="E258" i="2"/>
  <c r="A206" i="34"/>
  <c r="E782" i="20"/>
  <c r="F782" i="20" s="1"/>
  <c r="D783" i="20" s="1"/>
  <c r="E1685" i="20" l="1"/>
  <c r="F1685" i="20" s="1"/>
  <c r="F872" i="20"/>
  <c r="D873" i="20" s="1"/>
  <c r="E873" i="20" s="1"/>
  <c r="F873" i="20" s="1"/>
  <c r="D874" i="20" s="1"/>
  <c r="F150" i="13"/>
  <c r="D151" i="13" s="1"/>
  <c r="E151" i="13" s="1"/>
  <c r="F151" i="13" s="1"/>
  <c r="D152" i="13" s="1"/>
  <c r="E421" i="20"/>
  <c r="F421" i="20" s="1"/>
  <c r="D422" i="20" s="1"/>
  <c r="D512" i="20"/>
  <c r="E512" i="20" s="1"/>
  <c r="F512" i="20" s="1"/>
  <c r="D513" i="20" s="1"/>
  <c r="D1598" i="20"/>
  <c r="E1598" i="20" s="1"/>
  <c r="D605" i="20"/>
  <c r="E605" i="20" s="1"/>
  <c r="F605" i="20" s="1"/>
  <c r="D696" i="20"/>
  <c r="E696" i="20" s="1"/>
  <c r="F696" i="20" s="1"/>
  <c r="D2045" i="20"/>
  <c r="E2045" i="20" s="1"/>
  <c r="F2045" i="20" s="1"/>
  <c r="D1956" i="20"/>
  <c r="D1415" i="20"/>
  <c r="E783" i="20"/>
  <c r="F783" i="20" s="1"/>
  <c r="E1230" i="20"/>
  <c r="F1230" i="20" s="1"/>
  <c r="E1776" i="20"/>
  <c r="F1776" i="20" s="1"/>
  <c r="E1865" i="20"/>
  <c r="F1865" i="20" s="1"/>
  <c r="D1866" i="20" s="1"/>
  <c r="A207" i="34"/>
  <c r="E260" i="2"/>
  <c r="E1501" i="20"/>
  <c r="F1501" i="20" s="1"/>
  <c r="E1054" i="20"/>
  <c r="F1054" i="20" s="1"/>
  <c r="D1055" i="20" s="1"/>
  <c r="E334" i="20"/>
  <c r="F334" i="20" s="1"/>
  <c r="E1140" i="20"/>
  <c r="F1140" i="20" s="1"/>
  <c r="D1141" i="20" s="1"/>
  <c r="E1325" i="20"/>
  <c r="F1325" i="20" s="1"/>
  <c r="E153" i="20"/>
  <c r="F153" i="20" s="1"/>
  <c r="E243" i="20"/>
  <c r="F243" i="20" s="1"/>
  <c r="D1686" i="20" l="1"/>
  <c r="G150" i="13"/>
  <c r="E422" i="20"/>
  <c r="F422" i="20" s="1"/>
  <c r="D1502" i="20"/>
  <c r="E1502" i="20" s="1"/>
  <c r="F1502" i="20" s="1"/>
  <c r="F1598" i="20"/>
  <c r="D1599" i="20" s="1"/>
  <c r="E1599" i="20" s="1"/>
  <c r="D335" i="20"/>
  <c r="D784" i="20"/>
  <c r="D1777" i="20"/>
  <c r="D154" i="20"/>
  <c r="D1231" i="20"/>
  <c r="D1326" i="20"/>
  <c r="D606" i="20"/>
  <c r="D244" i="20"/>
  <c r="D2046" i="20"/>
  <c r="D697" i="20"/>
  <c r="E513" i="20"/>
  <c r="F513" i="20" s="1"/>
  <c r="D514" i="20" s="1"/>
  <c r="E261" i="2"/>
  <c r="A208" i="34"/>
  <c r="G151" i="13"/>
  <c r="E152" i="13"/>
  <c r="F152" i="13" s="1"/>
  <c r="E874" i="20"/>
  <c r="F874" i="20" s="1"/>
  <c r="E1866" i="20"/>
  <c r="F1866" i="20" s="1"/>
  <c r="E1415" i="20"/>
  <c r="F1415" i="20" s="1"/>
  <c r="E1141" i="20"/>
  <c r="F1141" i="20" s="1"/>
  <c r="E1055" i="20"/>
  <c r="F1055" i="20" s="1"/>
  <c r="E1956" i="20"/>
  <c r="F1956" i="20" s="1"/>
  <c r="D1957" i="20" s="1"/>
  <c r="E1686" i="20" l="1"/>
  <c r="F1686" i="20" s="1"/>
  <c r="D1687" i="20" s="1"/>
  <c r="D423" i="20"/>
  <c r="F1599" i="20"/>
  <c r="D1142" i="20"/>
  <c r="D153" i="13"/>
  <c r="G152" i="13"/>
  <c r="D1416" i="20"/>
  <c r="D1503" i="20"/>
  <c r="D1867" i="20"/>
  <c r="D1056" i="20"/>
  <c r="D875" i="20"/>
  <c r="E1957" i="20"/>
  <c r="F1957" i="20" s="1"/>
  <c r="A209" i="34"/>
  <c r="E262" i="2"/>
  <c r="E1326" i="20"/>
  <c r="F1326" i="20" s="1"/>
  <c r="D1327" i="20" s="1"/>
  <c r="E1777" i="20"/>
  <c r="F1777" i="20" s="1"/>
  <c r="D1778" i="20" s="1"/>
  <c r="E606" i="20"/>
  <c r="F606" i="20" s="1"/>
  <c r="E154" i="20"/>
  <c r="F154" i="20" s="1"/>
  <c r="E514" i="20"/>
  <c r="F514" i="20" s="1"/>
  <c r="E2046" i="20"/>
  <c r="F2046" i="20" s="1"/>
  <c r="D2047" i="20" s="1"/>
  <c r="E784" i="20"/>
  <c r="F784" i="20" s="1"/>
  <c r="E697" i="20"/>
  <c r="F697" i="20" s="1"/>
  <c r="E244" i="20"/>
  <c r="F244" i="20" s="1"/>
  <c r="D245" i="20" s="1"/>
  <c r="E1231" i="20"/>
  <c r="F1231" i="20" s="1"/>
  <c r="D1232" i="20" s="1"/>
  <c r="E335" i="20"/>
  <c r="F335" i="20" s="1"/>
  <c r="D336" i="20" s="1"/>
  <c r="E1687" i="20" l="1"/>
  <c r="F1687" i="20" s="1"/>
  <c r="D1688" i="20" s="1"/>
  <c r="D785" i="20"/>
  <c r="E785" i="20" s="1"/>
  <c r="F785" i="20" s="1"/>
  <c r="D698" i="20"/>
  <c r="E698" i="20" s="1"/>
  <c r="F698" i="20" s="1"/>
  <c r="D1600" i="20"/>
  <c r="E1600" i="20" s="1"/>
  <c r="E1601" i="20" s="1"/>
  <c r="E423" i="20"/>
  <c r="F423" i="20" s="1"/>
  <c r="D424" i="20" s="1"/>
  <c r="E424" i="20" s="1"/>
  <c r="F424" i="20" s="1"/>
  <c r="D425" i="20" s="1"/>
  <c r="D515" i="20"/>
  <c r="E515" i="20" s="1"/>
  <c r="F515" i="20" s="1"/>
  <c r="D516" i="20" s="1"/>
  <c r="D1958" i="20"/>
  <c r="E1958" i="20" s="1"/>
  <c r="F1958" i="20" s="1"/>
  <c r="D1959" i="20" s="1"/>
  <c r="D607" i="20"/>
  <c r="E607" i="20" s="1"/>
  <c r="F607" i="20" s="1"/>
  <c r="D155" i="20"/>
  <c r="E1232" i="20"/>
  <c r="F1232" i="20" s="1"/>
  <c r="E1327" i="20"/>
  <c r="F1327" i="20" s="1"/>
  <c r="E1867" i="20"/>
  <c r="F1867" i="20" s="1"/>
  <c r="E1778" i="20"/>
  <c r="F1778" i="20" s="1"/>
  <c r="D1779" i="20" s="1"/>
  <c r="E1056" i="20"/>
  <c r="F1056" i="20" s="1"/>
  <c r="E336" i="20"/>
  <c r="F336" i="20" s="1"/>
  <c r="A210" i="34"/>
  <c r="E263" i="2"/>
  <c r="E875" i="20"/>
  <c r="F875" i="20" s="1"/>
  <c r="E1416" i="20"/>
  <c r="F1416" i="20" s="1"/>
  <c r="E245" i="20"/>
  <c r="F245" i="20" s="1"/>
  <c r="D246" i="20" s="1"/>
  <c r="E153" i="13"/>
  <c r="F153" i="13" s="1"/>
  <c r="E2047" i="20"/>
  <c r="F2047" i="20" s="1"/>
  <c r="D2048" i="20" s="1"/>
  <c r="E1503" i="20"/>
  <c r="F1503" i="20" s="1"/>
  <c r="E1142" i="20"/>
  <c r="F1142" i="20" s="1"/>
  <c r="E1688" i="20" l="1"/>
  <c r="F1688" i="20" s="1"/>
  <c r="D1689" i="20" s="1"/>
  <c r="D608" i="20"/>
  <c r="E608" i="20" s="1"/>
  <c r="F608" i="20" s="1"/>
  <c r="F1600" i="20"/>
  <c r="D786" i="20"/>
  <c r="E786" i="20" s="1"/>
  <c r="F786" i="20" s="1"/>
  <c r="D1143" i="20"/>
  <c r="E1143" i="20" s="1"/>
  <c r="F1143" i="20" s="1"/>
  <c r="D1144" i="20" s="1"/>
  <c r="D1504" i="20"/>
  <c r="D876" i="20"/>
  <c r="D699" i="20"/>
  <c r="D1328" i="20"/>
  <c r="D1417" i="20"/>
  <c r="D1233" i="20"/>
  <c r="D154" i="13"/>
  <c r="G153" i="13"/>
  <c r="D1057" i="20"/>
  <c r="D1868" i="20"/>
  <c r="E1959" i="20"/>
  <c r="F1959" i="20" s="1"/>
  <c r="E516" i="20"/>
  <c r="F516" i="20" s="1"/>
  <c r="D337" i="20"/>
  <c r="E2048" i="20"/>
  <c r="F2048" i="20" s="1"/>
  <c r="E246" i="20"/>
  <c r="F246" i="20" s="1"/>
  <c r="B215" i="34"/>
  <c r="A213" i="34"/>
  <c r="E1779" i="20"/>
  <c r="F1779" i="20" s="1"/>
  <c r="D1780" i="20" s="1"/>
  <c r="E425" i="20"/>
  <c r="F425" i="20" s="1"/>
  <c r="D426" i="20" s="1"/>
  <c r="E155" i="20"/>
  <c r="F155" i="20" s="1"/>
  <c r="E1689" i="20" l="1"/>
  <c r="F1689" i="20" s="1"/>
  <c r="D787" i="20"/>
  <c r="E787" i="20" s="1"/>
  <c r="F787" i="20" s="1"/>
  <c r="D247" i="20"/>
  <c r="E247" i="20" s="1"/>
  <c r="F247" i="20" s="1"/>
  <c r="D156" i="20"/>
  <c r="D609" i="20"/>
  <c r="D1960" i="20"/>
  <c r="D2049" i="20"/>
  <c r="D517" i="20"/>
  <c r="E1144" i="20"/>
  <c r="F1144" i="20" s="1"/>
  <c r="E1233" i="20"/>
  <c r="F1233" i="20" s="1"/>
  <c r="E154" i="13"/>
  <c r="F154" i="13" s="1"/>
  <c r="D155" i="13" s="1"/>
  <c r="E699" i="20"/>
  <c r="F699" i="20" s="1"/>
  <c r="D700" i="20" s="1"/>
  <c r="E1868" i="20"/>
  <c r="F1868" i="20" s="1"/>
  <c r="E876" i="20"/>
  <c r="F876" i="20" s="1"/>
  <c r="E337" i="20"/>
  <c r="F337" i="20" s="1"/>
  <c r="E1328" i="20"/>
  <c r="F1328" i="20" s="1"/>
  <c r="E426" i="20"/>
  <c r="F426" i="20" s="1"/>
  <c r="E1780" i="20"/>
  <c r="E1781" i="20" s="1"/>
  <c r="D267" i="2"/>
  <c r="A214" i="34"/>
  <c r="E1057" i="20"/>
  <c r="F1057" i="20" s="1"/>
  <c r="E1417" i="20"/>
  <c r="F1417" i="20" s="1"/>
  <c r="E1504" i="20"/>
  <c r="F1504" i="20" s="1"/>
  <c r="D1505" i="20" s="1"/>
  <c r="D788" i="20" l="1"/>
  <c r="E788" i="20" s="1"/>
  <c r="F788" i="20" s="1"/>
  <c r="D1869" i="20"/>
  <c r="D1329" i="20"/>
  <c r="D1145" i="20"/>
  <c r="D338" i="20"/>
  <c r="D1058" i="20"/>
  <c r="D427" i="20"/>
  <c r="D877" i="20"/>
  <c r="D248" i="20"/>
  <c r="D1418" i="20"/>
  <c r="D1234" i="20"/>
  <c r="E155" i="13"/>
  <c r="F155" i="13" s="1"/>
  <c r="D156" i="13" s="1"/>
  <c r="E700" i="20"/>
  <c r="E701" i="20" s="1"/>
  <c r="E1960" i="20"/>
  <c r="E1961" i="20" s="1"/>
  <c r="F1780" i="20"/>
  <c r="E2049" i="20"/>
  <c r="E2050" i="20" s="1"/>
  <c r="E1505" i="20"/>
  <c r="F1505" i="20" s="1"/>
  <c r="A215" i="34"/>
  <c r="D268" i="2"/>
  <c r="E609" i="20"/>
  <c r="F609" i="20" s="1"/>
  <c r="G154" i="13"/>
  <c r="E517" i="20"/>
  <c r="F517" i="20" s="1"/>
  <c r="D518" i="20" s="1"/>
  <c r="E156" i="20"/>
  <c r="F156" i="20" s="1"/>
  <c r="F700" i="20" l="1"/>
  <c r="D789" i="20"/>
  <c r="E789" i="20" s="1"/>
  <c r="F789" i="20" s="1"/>
  <c r="D790" i="20" s="1"/>
  <c r="E1869" i="20"/>
  <c r="F1869" i="20" s="1"/>
  <c r="D157" i="20"/>
  <c r="E157" i="20" s="1"/>
  <c r="F157" i="20" s="1"/>
  <c r="D158" i="20" s="1"/>
  <c r="D610" i="20"/>
  <c r="D1506" i="20"/>
  <c r="A216" i="34"/>
  <c r="B220" i="34" s="1"/>
  <c r="D269" i="2"/>
  <c r="E877" i="20"/>
  <c r="F877" i="20" s="1"/>
  <c r="E1145" i="20"/>
  <c r="F1145" i="20" s="1"/>
  <c r="F2049" i="20"/>
  <c r="F1960" i="20"/>
  <c r="E248" i="20"/>
  <c r="F248" i="20" s="1"/>
  <c r="E338" i="20"/>
  <c r="F338" i="20" s="1"/>
  <c r="D339" i="20" s="1"/>
  <c r="E518" i="20"/>
  <c r="F518" i="20" s="1"/>
  <c r="D519" i="20" s="1"/>
  <c r="E156" i="13"/>
  <c r="F156" i="13" s="1"/>
  <c r="D157" i="13" s="1"/>
  <c r="E1418" i="20"/>
  <c r="F1418" i="20" s="1"/>
  <c r="D1419" i="20" s="1"/>
  <c r="E1058" i="20"/>
  <c r="F1058" i="20" s="1"/>
  <c r="D1059" i="20" s="1"/>
  <c r="G155" i="13"/>
  <c r="E1234" i="20"/>
  <c r="F1234" i="20" s="1"/>
  <c r="E427" i="20"/>
  <c r="F427" i="20" s="1"/>
  <c r="D428" i="20" s="1"/>
  <c r="E1329" i="20"/>
  <c r="F1329" i="20" s="1"/>
  <c r="D1330" i="20" s="1"/>
  <c r="D1146" i="20" l="1"/>
  <c r="E1146" i="20" s="1"/>
  <c r="F1146" i="20" s="1"/>
  <c r="D1870" i="20"/>
  <c r="D1235" i="20"/>
  <c r="D878" i="20"/>
  <c r="D249" i="20"/>
  <c r="E519" i="20"/>
  <c r="F519" i="20" s="1"/>
  <c r="G156" i="13"/>
  <c r="D270" i="2"/>
  <c r="A218" i="34"/>
  <c r="B218" i="34"/>
  <c r="B219" i="34"/>
  <c r="E157" i="13"/>
  <c r="F157" i="13" s="1"/>
  <c r="E339" i="20"/>
  <c r="F339" i="20" s="1"/>
  <c r="E1506" i="20"/>
  <c r="F1506" i="20" s="1"/>
  <c r="E1330" i="20"/>
  <c r="E1331" i="20" s="1"/>
  <c r="E428" i="20"/>
  <c r="F428" i="20" s="1"/>
  <c r="D429" i="20" s="1"/>
  <c r="E158" i="20"/>
  <c r="F158" i="20" s="1"/>
  <c r="D159" i="20" s="1"/>
  <c r="E790" i="20"/>
  <c r="E791" i="20" s="1"/>
  <c r="E1059" i="20"/>
  <c r="F1059" i="20" s="1"/>
  <c r="D1060" i="20" s="1"/>
  <c r="E1419" i="20"/>
  <c r="F1419" i="20" s="1"/>
  <c r="E610" i="20"/>
  <c r="E611" i="20" s="1"/>
  <c r="E1870" i="20" l="1"/>
  <c r="E1871" i="20" s="1"/>
  <c r="F610" i="20"/>
  <c r="F1330" i="20"/>
  <c r="D158" i="13"/>
  <c r="G157" i="13"/>
  <c r="D340" i="20"/>
  <c r="D1420" i="20"/>
  <c r="D1507" i="20"/>
  <c r="D1147" i="20"/>
  <c r="D520" i="20"/>
  <c r="E1060" i="20"/>
  <c r="E1061" i="20" s="1"/>
  <c r="E159" i="20"/>
  <c r="F159" i="20" s="1"/>
  <c r="D160" i="20" s="1"/>
  <c r="E878" i="20"/>
  <c r="F878" i="20" s="1"/>
  <c r="D879" i="20" s="1"/>
  <c r="F790" i="20"/>
  <c r="E249" i="20"/>
  <c r="F249" i="20" s="1"/>
  <c r="D250" i="20" s="1"/>
  <c r="E429" i="20"/>
  <c r="F429" i="20" s="1"/>
  <c r="A219" i="34"/>
  <c r="E1235" i="20"/>
  <c r="F1235" i="20" s="1"/>
  <c r="F1870" i="20" l="1"/>
  <c r="D430" i="20"/>
  <c r="D1236" i="20"/>
  <c r="E1147" i="20"/>
  <c r="F1147" i="20" s="1"/>
  <c r="A220" i="34"/>
  <c r="E520" i="20"/>
  <c r="E521" i="20" s="1"/>
  <c r="E340" i="20"/>
  <c r="E341" i="20" s="1"/>
  <c r="E879" i="20"/>
  <c r="F879" i="20" s="1"/>
  <c r="D880" i="20" s="1"/>
  <c r="E160" i="20"/>
  <c r="E161" i="20" s="1"/>
  <c r="E1420" i="20"/>
  <c r="E1421" i="20" s="1"/>
  <c r="E250" i="20"/>
  <c r="E251" i="20" s="1"/>
  <c r="F1060" i="20"/>
  <c r="E1507" i="20"/>
  <c r="F1507" i="20" s="1"/>
  <c r="E158" i="13"/>
  <c r="F158" i="13" s="1"/>
  <c r="F340" i="20" l="1"/>
  <c r="F250" i="20"/>
  <c r="D1148" i="20"/>
  <c r="D1508" i="20"/>
  <c r="D159" i="13"/>
  <c r="G158" i="13"/>
  <c r="A222" i="34"/>
  <c r="A224" i="34" s="1"/>
  <c r="A225" i="34" s="1"/>
  <c r="A226" i="34" s="1"/>
  <c r="A229" i="34" s="1"/>
  <c r="E1236" i="20"/>
  <c r="F1236" i="20" s="1"/>
  <c r="E880" i="20"/>
  <c r="E881" i="20" s="1"/>
  <c r="E430" i="20"/>
  <c r="E431" i="20" s="1"/>
  <c r="F520" i="20"/>
  <c r="F1420" i="20"/>
  <c r="F160" i="20"/>
  <c r="F880" i="20" l="1"/>
  <c r="F430" i="20"/>
  <c r="D1237" i="20"/>
  <c r="E1148" i="20"/>
  <c r="F1148" i="20" s="1"/>
  <c r="D1149" i="20" s="1"/>
  <c r="E1508" i="20"/>
  <c r="F1508" i="20" s="1"/>
  <c r="A230" i="34"/>
  <c r="B234" i="34"/>
  <c r="E159" i="13"/>
  <c r="E160" i="13" s="1"/>
  <c r="F159" i="13" l="1"/>
  <c r="G159" i="13" s="1"/>
  <c r="D1509" i="20"/>
  <c r="E1149" i="20"/>
  <c r="F1149" i="20" s="1"/>
  <c r="A231" i="34"/>
  <c r="B235" i="34"/>
  <c r="E1237" i="20"/>
  <c r="F1237" i="20" s="1"/>
  <c r="D1238" i="20" s="1"/>
  <c r="D1150" i="20" l="1"/>
  <c r="E1509" i="20"/>
  <c r="F1509" i="20" s="1"/>
  <c r="D1510" i="20" s="1"/>
  <c r="E1238" i="20"/>
  <c r="F1238" i="20" s="1"/>
  <c r="A234" i="34"/>
  <c r="A235" i="34" s="1"/>
  <c r="A236" i="34" s="1"/>
  <c r="A237" i="34" s="1"/>
  <c r="B236" i="34"/>
  <c r="D1239" i="20" l="1"/>
  <c r="E1510" i="20"/>
  <c r="E1511" i="20" s="1"/>
  <c r="E1150" i="20"/>
  <c r="E1151" i="20" s="1"/>
  <c r="F1510" i="20" l="1"/>
  <c r="F1150" i="20"/>
  <c r="E1239" i="20"/>
  <c r="F1239" i="20" s="1"/>
  <c r="D1240" i="20" l="1"/>
  <c r="E1240" i="20" s="1"/>
  <c r="E1241" i="20" s="1"/>
  <c r="F1240" i="20" l="1"/>
  <c r="D1690" i="20" l="1"/>
  <c r="E1690" i="20" l="1"/>
  <c r="E1691" i="20" s="1"/>
  <c r="F1690" i="20" l="1"/>
  <c r="L17" i="2" l="1"/>
  <c r="K17" i="8" l="1"/>
  <c r="K27" i="8" s="1"/>
  <c r="K31" i="8" s="1"/>
  <c r="G15" i="2" s="1"/>
  <c r="L15" i="2" s="1"/>
  <c r="J17" i="8" l="1"/>
  <c r="I27" i="8"/>
  <c r="I31" i="8" s="1"/>
  <c r="J21" i="8"/>
  <c r="E65" i="31" l="1"/>
  <c r="E35" i="11" s="1"/>
  <c r="K35" i="11" s="1"/>
  <c r="J27" i="8"/>
  <c r="J31" i="8" s="1"/>
  <c r="E98" i="31" l="1"/>
  <c r="E95" i="31"/>
  <c r="E40" i="11" s="1"/>
  <c r="M40" i="11" s="1"/>
  <c r="E86" i="31"/>
  <c r="E38" i="11" s="1"/>
  <c r="K38" i="11" s="1"/>
  <c r="E81" i="31"/>
  <c r="E37" i="11" s="1"/>
  <c r="K37" i="11" s="1"/>
  <c r="E69" i="31"/>
  <c r="E36" i="11" s="1"/>
  <c r="K36" i="11" s="1"/>
  <c r="E62" i="31"/>
  <c r="E34" i="11" s="1"/>
  <c r="M34" i="11" s="1"/>
  <c r="E59" i="31"/>
  <c r="E31" i="11" s="1"/>
  <c r="M31" i="11" s="1"/>
  <c r="E54" i="31"/>
  <c r="E28" i="11" s="1"/>
  <c r="I28" i="11" s="1"/>
  <c r="E52" i="31"/>
  <c r="E27" i="11" s="1"/>
  <c r="I27" i="11" s="1"/>
  <c r="K43" i="11" l="1"/>
  <c r="G173" i="2" s="1"/>
  <c r="L173" i="2" s="1"/>
  <c r="I10" i="41" l="1"/>
  <c r="E21" i="41" l="1"/>
  <c r="J54" i="41"/>
  <c r="E22" i="41" l="1"/>
  <c r="E23" i="41" l="1"/>
  <c r="E24" i="41" l="1"/>
  <c r="E25" i="41" l="1"/>
  <c r="E26" i="41" l="1"/>
  <c r="E27" i="41" l="1"/>
  <c r="E28" i="41" l="1"/>
  <c r="E29" i="41" l="1"/>
  <c r="E30" i="41" l="1"/>
  <c r="E31" i="41" l="1"/>
  <c r="I10" i="35" l="1"/>
  <c r="E32" i="41"/>
  <c r="E21" i="35" l="1"/>
  <c r="J54" i="35"/>
  <c r="E22" i="35" l="1"/>
  <c r="E23" i="35" l="1"/>
  <c r="E24" i="35" l="1"/>
  <c r="E25" i="35" l="1"/>
  <c r="E26" i="35" l="1"/>
  <c r="E27" i="35" l="1"/>
  <c r="E28" i="35" l="1"/>
  <c r="E29" i="35" l="1"/>
  <c r="E30" i="35" l="1"/>
  <c r="E31" i="35" l="1"/>
  <c r="E32" i="35" l="1"/>
  <c r="G39" i="41" l="1"/>
  <c r="G21" i="41"/>
  <c r="G39" i="35"/>
  <c r="G21" i="35" l="1"/>
  <c r="G22" i="35" s="1"/>
  <c r="G22" i="41"/>
  <c r="I21" i="41"/>
  <c r="G40" i="41"/>
  <c r="G39" i="42"/>
  <c r="G21" i="42"/>
  <c r="G40" i="35"/>
  <c r="I21" i="35" l="1"/>
  <c r="L21" i="35" s="1"/>
  <c r="G41" i="41"/>
  <c r="L21" i="41"/>
  <c r="G23" i="41"/>
  <c r="I22" i="41"/>
  <c r="L22" i="41" s="1"/>
  <c r="G22" i="42"/>
  <c r="G40" i="42"/>
  <c r="G41" i="35"/>
  <c r="G23" i="35"/>
  <c r="I22" i="35"/>
  <c r="L22" i="35" s="1"/>
  <c r="G24" i="41" l="1"/>
  <c r="I23" i="41"/>
  <c r="L23" i="41" s="1"/>
  <c r="G42" i="41"/>
  <c r="G41" i="42"/>
  <c r="G23" i="42"/>
  <c r="G24" i="35"/>
  <c r="I23" i="35"/>
  <c r="L23" i="35" s="1"/>
  <c r="G42" i="35"/>
  <c r="G43" i="41" l="1"/>
  <c r="G25" i="41"/>
  <c r="I24" i="41"/>
  <c r="G24" i="42"/>
  <c r="G42" i="42"/>
  <c r="G43" i="35"/>
  <c r="G25" i="35"/>
  <c r="I24" i="35"/>
  <c r="L24" i="41" l="1"/>
  <c r="G26" i="41"/>
  <c r="I25" i="41"/>
  <c r="L25" i="41" s="1"/>
  <c r="G44" i="41"/>
  <c r="G43" i="42"/>
  <c r="G25" i="42"/>
  <c r="L24" i="35"/>
  <c r="G26" i="35"/>
  <c r="I25" i="35"/>
  <c r="L25" i="35" s="1"/>
  <c r="G44" i="35"/>
  <c r="G45" i="41" l="1"/>
  <c r="G27" i="41"/>
  <c r="I26" i="41"/>
  <c r="L26" i="41" s="1"/>
  <c r="G26" i="42"/>
  <c r="G44" i="42"/>
  <c r="G45" i="35"/>
  <c r="G27" i="35"/>
  <c r="I26" i="35"/>
  <c r="L26" i="35" s="1"/>
  <c r="G28" i="41" l="1"/>
  <c r="I27" i="41"/>
  <c r="G46" i="41"/>
  <c r="G45" i="42"/>
  <c r="G27" i="42"/>
  <c r="G28" i="35"/>
  <c r="I27" i="35"/>
  <c r="G46" i="35"/>
  <c r="G47" i="41" l="1"/>
  <c r="L27" i="41"/>
  <c r="G29" i="41"/>
  <c r="I28" i="41"/>
  <c r="L28" i="41" s="1"/>
  <c r="G46" i="42"/>
  <c r="G28" i="42"/>
  <c r="G47" i="35"/>
  <c r="L27" i="35"/>
  <c r="G29" i="35"/>
  <c r="I28" i="35"/>
  <c r="L28" i="35" s="1"/>
  <c r="G30" i="41" l="1"/>
  <c r="I29" i="41"/>
  <c r="L29" i="41" s="1"/>
  <c r="G48" i="41"/>
  <c r="G29" i="42"/>
  <c r="G47" i="42"/>
  <c r="G30" i="35"/>
  <c r="I29" i="35"/>
  <c r="L29" i="35" s="1"/>
  <c r="G48" i="35"/>
  <c r="G49" i="41" l="1"/>
  <c r="G31" i="41"/>
  <c r="I30" i="41"/>
  <c r="L30" i="41" s="1"/>
  <c r="G48" i="42"/>
  <c r="G30" i="42"/>
  <c r="G49" i="35"/>
  <c r="G31" i="35"/>
  <c r="I30" i="35"/>
  <c r="L30" i="35" s="1"/>
  <c r="G32" i="41" l="1"/>
  <c r="I31" i="41"/>
  <c r="L31" i="41" s="1"/>
  <c r="G50" i="41"/>
  <c r="G31" i="42"/>
  <c r="G49" i="42"/>
  <c r="G32" i="35"/>
  <c r="I31" i="35"/>
  <c r="L31" i="35" s="1"/>
  <c r="G50" i="35"/>
  <c r="G36" i="41" l="1"/>
  <c r="I32" i="41"/>
  <c r="G50" i="42"/>
  <c r="G32" i="42"/>
  <c r="G36" i="35"/>
  <c r="I32" i="35"/>
  <c r="L32" i="41" l="1"/>
  <c r="L33" i="41" s="1"/>
  <c r="E36" i="41" s="1"/>
  <c r="I36" i="41" s="1"/>
  <c r="L36" i="41" s="1"/>
  <c r="I33" i="41"/>
  <c r="G36" i="42"/>
  <c r="L32" i="35"/>
  <c r="L33" i="35" s="1"/>
  <c r="E36" i="35" s="1"/>
  <c r="I36" i="35" s="1"/>
  <c r="L36" i="35" s="1"/>
  <c r="I33" i="35"/>
  <c r="E39" i="41" l="1"/>
  <c r="J39" i="41"/>
  <c r="E39" i="35"/>
  <c r="J39" i="35"/>
  <c r="J40" i="41" l="1"/>
  <c r="J41" i="41" s="1"/>
  <c r="J42" i="41" s="1"/>
  <c r="J43" i="41" s="1"/>
  <c r="J44" i="41" s="1"/>
  <c r="J45" i="41" s="1"/>
  <c r="J46" i="41" s="1"/>
  <c r="J47" i="41" s="1"/>
  <c r="J48" i="41" s="1"/>
  <c r="J49" i="41" s="1"/>
  <c r="J50" i="41" s="1"/>
  <c r="L39" i="41"/>
  <c r="E40" i="41" s="1"/>
  <c r="I39" i="41"/>
  <c r="J40" i="35"/>
  <c r="J41" i="35" s="1"/>
  <c r="J42" i="35" s="1"/>
  <c r="J43" i="35" s="1"/>
  <c r="J44" i="35" s="1"/>
  <c r="J45" i="35" s="1"/>
  <c r="J46" i="35" s="1"/>
  <c r="J47" i="35" s="1"/>
  <c r="J48" i="35" s="1"/>
  <c r="J49" i="35" s="1"/>
  <c r="J50" i="35" s="1"/>
  <c r="J53" i="35" s="1"/>
  <c r="L39" i="35"/>
  <c r="E40" i="35" s="1"/>
  <c r="I39" i="35"/>
  <c r="J55" i="35" l="1"/>
  <c r="L40" i="41"/>
  <c r="E41" i="41" s="1"/>
  <c r="I40" i="41"/>
  <c r="J53" i="41"/>
  <c r="L40" i="35"/>
  <c r="E41" i="35" s="1"/>
  <c r="I40" i="35"/>
  <c r="J55" i="41" l="1"/>
  <c r="L41" i="41"/>
  <c r="E42" i="41" s="1"/>
  <c r="I41" i="41"/>
  <c r="L41" i="35"/>
  <c r="E42" i="35" s="1"/>
  <c r="I41" i="35"/>
  <c r="L42" i="41" l="1"/>
  <c r="E43" i="41" s="1"/>
  <c r="I42" i="41"/>
  <c r="L42" i="35"/>
  <c r="E43" i="35" s="1"/>
  <c r="I42" i="35"/>
  <c r="L43" i="41" l="1"/>
  <c r="E44" i="41" s="1"/>
  <c r="I43" i="41"/>
  <c r="L43" i="35"/>
  <c r="E44" i="35" s="1"/>
  <c r="I43" i="35"/>
  <c r="L44" i="41" l="1"/>
  <c r="E45" i="41" s="1"/>
  <c r="I44" i="41"/>
  <c r="L44" i="35"/>
  <c r="E45" i="35" s="1"/>
  <c r="I44" i="35"/>
  <c r="L45" i="41" l="1"/>
  <c r="E46" i="41" s="1"/>
  <c r="I45" i="41"/>
  <c r="L45" i="35"/>
  <c r="E46" i="35" s="1"/>
  <c r="I45" i="35"/>
  <c r="L46" i="41" l="1"/>
  <c r="E47" i="41" s="1"/>
  <c r="I46" i="41"/>
  <c r="L46" i="35"/>
  <c r="E47" i="35" s="1"/>
  <c r="I46" i="35"/>
  <c r="L47" i="41" l="1"/>
  <c r="E48" i="41" s="1"/>
  <c r="I47" i="41"/>
  <c r="L47" i="35"/>
  <c r="E48" i="35" s="1"/>
  <c r="I47" i="35"/>
  <c r="L48" i="41" l="1"/>
  <c r="E49" i="41" s="1"/>
  <c r="I48" i="41"/>
  <c r="L48" i="35"/>
  <c r="E49" i="35" s="1"/>
  <c r="I48" i="35"/>
  <c r="L49" i="41" l="1"/>
  <c r="E50" i="41" s="1"/>
  <c r="I49" i="41"/>
  <c r="L49" i="35"/>
  <c r="E50" i="35" s="1"/>
  <c r="I49" i="35"/>
  <c r="L50" i="41" l="1"/>
  <c r="I50" i="41"/>
  <c r="I51" i="41" s="1"/>
  <c r="L50" i="35"/>
  <c r="I50" i="35"/>
  <c r="I51" i="35" s="1"/>
  <c r="E69" i="9" l="1"/>
  <c r="E68" i="9" l="1"/>
  <c r="F70" i="9" l="1"/>
  <c r="F72" i="9" s="1"/>
  <c r="G151" i="2" s="1"/>
  <c r="E70" i="9" l="1"/>
  <c r="L151" i="2"/>
  <c r="E67" i="9"/>
  <c r="D72" i="9"/>
  <c r="E72" i="9" l="1"/>
  <c r="I41" i="5" l="1"/>
  <c r="E44" i="5"/>
  <c r="G94" i="2" l="1"/>
  <c r="G20" i="5" l="1"/>
  <c r="I17" i="5"/>
  <c r="I43" i="5"/>
  <c r="I44" i="5" s="1"/>
  <c r="L94" i="2" s="1"/>
  <c r="G44" i="5"/>
  <c r="G36" i="5"/>
  <c r="G91" i="2" l="1"/>
  <c r="G28" i="5"/>
  <c r="I35" i="5" l="1"/>
  <c r="I19" i="5"/>
  <c r="I20" i="5" s="1"/>
  <c r="L91" i="2" s="1"/>
  <c r="E20" i="5"/>
  <c r="I33" i="5"/>
  <c r="E36" i="5" l="1"/>
  <c r="G93" i="2"/>
  <c r="I36" i="5"/>
  <c r="L93" i="2" s="1"/>
  <c r="I25" i="5"/>
  <c r="G92" i="2" l="1"/>
  <c r="G96" i="2" s="1"/>
  <c r="I27" i="5" l="1"/>
  <c r="I28" i="5" s="1"/>
  <c r="L92" i="2" s="1"/>
  <c r="L96" i="2" s="1"/>
  <c r="E28" i="5"/>
  <c r="I10" i="42" l="1"/>
  <c r="E21" i="42" s="1"/>
  <c r="J54" i="42" l="1"/>
  <c r="E22" i="42"/>
  <c r="I21" i="42"/>
  <c r="E23" i="42" l="1"/>
  <c r="I22" i="42"/>
  <c r="L22" i="42" s="1"/>
  <c r="L21" i="42"/>
  <c r="E24" i="42" l="1"/>
  <c r="I23" i="42"/>
  <c r="E25" i="42" l="1"/>
  <c r="I24" i="42"/>
  <c r="L24" i="42" s="1"/>
  <c r="L23" i="42"/>
  <c r="E26" i="42" l="1"/>
  <c r="I25" i="42"/>
  <c r="L25" i="42" l="1"/>
  <c r="E27" i="42"/>
  <c r="I26" i="42"/>
  <c r="L26" i="42" s="1"/>
  <c r="E28" i="42" l="1"/>
  <c r="I27" i="42"/>
  <c r="L27" i="42" s="1"/>
  <c r="E29" i="42" l="1"/>
  <c r="I28" i="42"/>
  <c r="L28" i="42" l="1"/>
  <c r="E30" i="42"/>
  <c r="I29" i="42"/>
  <c r="L29" i="42" s="1"/>
  <c r="E31" i="42" l="1"/>
  <c r="I30" i="42"/>
  <c r="L30" i="42" s="1"/>
  <c r="E32" i="42" l="1"/>
  <c r="I32" i="42" s="1"/>
  <c r="I31" i="42"/>
  <c r="L31" i="42" s="1"/>
  <c r="L32" i="42" l="1"/>
  <c r="L33" i="42" s="1"/>
  <c r="E36" i="42" s="1"/>
  <c r="I36" i="42" s="1"/>
  <c r="L36" i="42" s="1"/>
  <c r="I33" i="42"/>
  <c r="J39" i="42" l="1"/>
  <c r="E39" i="42"/>
  <c r="I39" i="42" l="1"/>
  <c r="L39" i="42"/>
  <c r="E40" i="42" s="1"/>
  <c r="J40" i="42"/>
  <c r="J41" i="42" s="1"/>
  <c r="J42" i="42" s="1"/>
  <c r="J43" i="42" s="1"/>
  <c r="J44" i="42" s="1"/>
  <c r="J45" i="42" s="1"/>
  <c r="J46" i="42" s="1"/>
  <c r="J47" i="42" s="1"/>
  <c r="J48" i="42" s="1"/>
  <c r="J49" i="42" s="1"/>
  <c r="J50" i="42" s="1"/>
  <c r="J53" i="42" l="1"/>
  <c r="L40" i="42"/>
  <c r="E41" i="42" s="1"/>
  <c r="I40" i="42"/>
  <c r="J55" i="42" l="1"/>
  <c r="L41" i="42"/>
  <c r="E42" i="42" s="1"/>
  <c r="I41" i="42"/>
  <c r="L42" i="42" l="1"/>
  <c r="E43" i="42" s="1"/>
  <c r="I42" i="42"/>
  <c r="L43" i="42" l="1"/>
  <c r="E44" i="42" s="1"/>
  <c r="I43" i="42"/>
  <c r="L44" i="42" l="1"/>
  <c r="E45" i="42" s="1"/>
  <c r="I44" i="42"/>
  <c r="L45" i="42" l="1"/>
  <c r="E46" i="42" s="1"/>
  <c r="I45" i="42"/>
  <c r="L46" i="42" l="1"/>
  <c r="E47" i="42" s="1"/>
  <c r="I46" i="42"/>
  <c r="I47" i="42" l="1"/>
  <c r="L47" i="42"/>
  <c r="E48" i="42" s="1"/>
  <c r="I48" i="42" l="1"/>
  <c r="L48" i="42"/>
  <c r="E49" i="42" s="1"/>
  <c r="L49" i="42" l="1"/>
  <c r="E50" i="42" s="1"/>
  <c r="I49" i="42"/>
  <c r="L50" i="42" l="1"/>
  <c r="I50" i="42"/>
  <c r="I51" i="42" s="1"/>
  <c r="I44" i="6" l="1"/>
  <c r="K44" i="6" s="1"/>
  <c r="E44" i="6" s="1"/>
  <c r="I68" i="6"/>
  <c r="K68" i="6" s="1"/>
  <c r="E68" i="6" s="1"/>
  <c r="I66" i="6"/>
  <c r="K66" i="6" s="1"/>
  <c r="E66" i="6" s="1"/>
  <c r="I42" i="6"/>
  <c r="K42" i="6" s="1"/>
  <c r="E42" i="6" s="1"/>
  <c r="I43" i="6"/>
  <c r="K43" i="6" s="1"/>
  <c r="E43" i="6" s="1"/>
  <c r="I67" i="6"/>
  <c r="K67" i="6" s="1"/>
  <c r="E67" i="6" s="1"/>
  <c r="I41" i="6" l="1"/>
  <c r="D57" i="6"/>
  <c r="D31" i="6" s="1"/>
  <c r="I65" i="6"/>
  <c r="D81" i="6"/>
  <c r="D32" i="6" s="1"/>
  <c r="D33" i="6" l="1"/>
  <c r="I81" i="6"/>
  <c r="I32" i="6" s="1"/>
  <c r="K65" i="6"/>
  <c r="I57" i="6"/>
  <c r="I31" i="6" s="1"/>
  <c r="K41" i="6"/>
  <c r="K57" i="6" l="1"/>
  <c r="K31" i="6" s="1"/>
  <c r="E41" i="6"/>
  <c r="E57" i="6" s="1"/>
  <c r="E31" i="6" s="1"/>
  <c r="K81" i="6"/>
  <c r="K32" i="6" s="1"/>
  <c r="E65" i="6"/>
  <c r="E81" i="6" s="1"/>
  <c r="E32" i="6" s="1"/>
  <c r="I33" i="6"/>
  <c r="G111" i="2" s="1"/>
  <c r="K33" i="6" l="1"/>
  <c r="E33" i="6"/>
  <c r="G113" i="2" s="1"/>
  <c r="L113" i="2" s="1"/>
  <c r="L111" i="2"/>
  <c r="E89" i="31" l="1"/>
  <c r="E14" i="31" l="1"/>
  <c r="E17" i="11" s="1"/>
  <c r="E50" i="31"/>
  <c r="E26" i="11" s="1"/>
  <c r="I26" i="11" s="1"/>
  <c r="I43" i="11" s="1"/>
  <c r="G169" i="2" s="1"/>
  <c r="L169" i="2" s="1"/>
  <c r="E39" i="11"/>
  <c r="M39" i="11" s="1"/>
  <c r="M17" i="11" l="1"/>
  <c r="M43" i="11" s="1"/>
  <c r="G172" i="2" s="1"/>
  <c r="E23" i="31" l="1"/>
  <c r="I24" i="31"/>
  <c r="I23" i="31" s="1"/>
  <c r="L172" i="2"/>
  <c r="E20" i="11" l="1"/>
  <c r="G20" i="11" l="1"/>
  <c r="I31" i="31"/>
  <c r="I30" i="31" s="1"/>
  <c r="E30" i="31"/>
  <c r="F101" i="31"/>
  <c r="I38" i="31"/>
  <c r="I37" i="31" s="1"/>
  <c r="E37" i="31"/>
  <c r="E22" i="11" s="1"/>
  <c r="G22" i="11" s="1"/>
  <c r="I41" i="31"/>
  <c r="I40" i="31" s="1"/>
  <c r="E40" i="31"/>
  <c r="E23" i="11" s="1"/>
  <c r="G23" i="11" s="1"/>
  <c r="I22" i="31" l="1"/>
  <c r="L171" i="2" s="1"/>
  <c r="L174" i="2" s="1"/>
  <c r="E21" i="11"/>
  <c r="E22" i="31"/>
  <c r="G171" i="2" l="1"/>
  <c r="G174" i="2" s="1"/>
  <c r="E101" i="31"/>
  <c r="G21" i="11"/>
  <c r="G43" i="11" s="1"/>
  <c r="E43" i="11"/>
  <c r="L43" i="2" l="1"/>
  <c r="L42" i="2"/>
  <c r="D33" i="9" l="1"/>
  <c r="G137" i="2" s="1"/>
  <c r="L41" i="2" s="1"/>
  <c r="D44" i="9"/>
  <c r="G147" i="2" s="1"/>
  <c r="D64" i="9"/>
  <c r="L45" i="2" l="1"/>
  <c r="G140" i="2"/>
  <c r="G105" i="2" s="1"/>
  <c r="G114" i="2" s="1"/>
  <c r="G118" i="2" s="1"/>
  <c r="G191" i="2" s="1"/>
  <c r="F44" i="9"/>
  <c r="G149" i="2" s="1"/>
  <c r="L149" i="2" s="1"/>
  <c r="F64" i="9"/>
  <c r="G150" i="2" s="1"/>
  <c r="L150" i="2" s="1"/>
  <c r="L147" i="2"/>
  <c r="L140" i="2" l="1"/>
  <c r="L105" i="2" s="1"/>
  <c r="L114" i="2" s="1"/>
  <c r="L118" i="2" s="1"/>
  <c r="F28" i="20" s="1"/>
  <c r="F30" i="20" s="1"/>
  <c r="G154" i="2"/>
  <c r="G156" i="2" s="1"/>
  <c r="G158" i="2" s="1"/>
  <c r="L154" i="2"/>
  <c r="E64" i="9"/>
  <c r="G185" i="2"/>
  <c r="G189" i="2" s="1"/>
  <c r="E44" i="9"/>
  <c r="G199" i="2" l="1"/>
  <c r="E28" i="13"/>
  <c r="E30" i="13" s="1"/>
  <c r="E34" i="13" s="1"/>
  <c r="E36" i="13" s="1"/>
  <c r="E40" i="13" s="1"/>
  <c r="F57" i="13" s="1"/>
  <c r="L191" i="2"/>
  <c r="L185" i="2" s="1"/>
  <c r="L189" i="2" s="1"/>
  <c r="F50" i="13" s="1"/>
  <c r="L156" i="2"/>
  <c r="L158" i="2" s="1"/>
  <c r="G56" i="20"/>
  <c r="F34" i="20"/>
  <c r="F36" i="20" s="1"/>
  <c r="F40" i="20" s="1"/>
  <c r="F49" i="13" l="1"/>
  <c r="G49" i="20"/>
  <c r="F56" i="13"/>
  <c r="G50" i="20"/>
  <c r="G57" i="20"/>
  <c r="L199" i="2"/>
  <c r="L13" i="2" s="1"/>
  <c r="L34" i="2" l="1"/>
  <c r="G47" i="20"/>
  <c r="G51" i="20" s="1"/>
  <c r="G55" i="20" s="1"/>
  <c r="G58" i="20" s="1"/>
  <c r="L27" i="2"/>
  <c r="L28" i="2" s="1"/>
  <c r="L18" i="2"/>
  <c r="F47" i="13"/>
  <c r="F51" i="13" s="1"/>
  <c r="F55" i="13" s="1"/>
  <c r="F58" i="13" s="1"/>
  <c r="L31" i="2"/>
  <c r="G60" i="20" l="1"/>
  <c r="G68" i="20" s="1"/>
  <c r="G69" i="20" s="1"/>
  <c r="G65" i="20"/>
  <c r="G66" i="20" s="1"/>
  <c r="G70" i="20"/>
  <c r="F70" i="13"/>
  <c r="J95" i="13" s="1"/>
  <c r="F60" i="13"/>
  <c r="F68" i="13" s="1"/>
  <c r="F69" i="13" s="1"/>
  <c r="F65" i="13"/>
  <c r="F66" i="13" s="1"/>
  <c r="F71" i="13" l="1"/>
  <c r="H105" i="13"/>
  <c r="H117" i="13"/>
  <c r="H150" i="13"/>
  <c r="H103" i="13"/>
  <c r="H149" i="13"/>
  <c r="H136" i="13"/>
  <c r="H130" i="13"/>
  <c r="J96" i="13"/>
  <c r="H114" i="13"/>
  <c r="H126" i="13"/>
  <c r="H100" i="13"/>
  <c r="H125" i="13"/>
  <c r="H145" i="13"/>
  <c r="H133" i="13"/>
  <c r="H127" i="13"/>
  <c r="H129" i="13"/>
  <c r="H154" i="13"/>
  <c r="H118" i="13"/>
  <c r="H135" i="13"/>
  <c r="H128" i="13"/>
  <c r="H131" i="13"/>
  <c r="H155" i="13"/>
  <c r="H101" i="13"/>
  <c r="H158" i="13"/>
  <c r="H140" i="13"/>
  <c r="H134" i="13"/>
  <c r="H124" i="13"/>
  <c r="H146" i="13"/>
  <c r="H159" i="13"/>
  <c r="H152" i="13"/>
  <c r="H123" i="13"/>
  <c r="H119" i="13"/>
  <c r="H109" i="13"/>
  <c r="H156" i="13"/>
  <c r="H115" i="13"/>
  <c r="H142" i="13"/>
  <c r="H139" i="13"/>
  <c r="H137" i="13"/>
  <c r="H113" i="13"/>
  <c r="H147" i="13"/>
  <c r="H157" i="13"/>
  <c r="H153" i="13"/>
  <c r="H108" i="13"/>
  <c r="H116" i="13"/>
  <c r="H132" i="13"/>
  <c r="H138" i="13"/>
  <c r="H120" i="13"/>
  <c r="H106" i="13"/>
  <c r="H121" i="13"/>
  <c r="H104" i="13"/>
  <c r="H107" i="13"/>
  <c r="H143" i="13"/>
  <c r="H141" i="13"/>
  <c r="H112" i="13"/>
  <c r="H111" i="13"/>
  <c r="H102" i="13"/>
  <c r="H148" i="13"/>
  <c r="H122" i="13"/>
  <c r="H110" i="13"/>
  <c r="H144" i="13"/>
  <c r="H151" i="13"/>
  <c r="I1446" i="20"/>
  <c r="I1447" i="20" s="1"/>
  <c r="I96" i="20"/>
  <c r="I1626" i="20"/>
  <c r="I1627" i="20" s="1"/>
  <c r="I1536" i="20"/>
  <c r="I1537" i="20" s="1"/>
  <c r="I1806" i="20"/>
  <c r="I1807" i="20" s="1"/>
  <c r="I1716" i="20"/>
  <c r="I1717" i="20" s="1"/>
  <c r="I1356" i="20"/>
  <c r="I1357" i="20" s="1"/>
  <c r="I1896" i="20"/>
  <c r="I1897" i="20" s="1"/>
  <c r="I276" i="20"/>
  <c r="I277" i="20" s="1"/>
  <c r="I546" i="20"/>
  <c r="I547" i="20" s="1"/>
  <c r="I726" i="20"/>
  <c r="I727" i="20" s="1"/>
  <c r="I366" i="20"/>
  <c r="I367" i="20" s="1"/>
  <c r="I1985" i="20"/>
  <c r="I1986" i="20" s="1"/>
  <c r="I186" i="20"/>
  <c r="I187" i="20" s="1"/>
  <c r="I1176" i="20"/>
  <c r="I1177" i="20" s="1"/>
  <c r="I816" i="20"/>
  <c r="I817" i="20" s="1"/>
  <c r="I1266" i="20"/>
  <c r="I1267" i="20" s="1"/>
  <c r="I906" i="20"/>
  <c r="I907" i="20" s="1"/>
  <c r="I996" i="20"/>
  <c r="I997" i="20" s="1"/>
  <c r="I636" i="20"/>
  <c r="I637" i="20" s="1"/>
  <c r="I1086" i="20"/>
  <c r="I1087" i="20" s="1"/>
  <c r="I456" i="20"/>
  <c r="I457" i="20" s="1"/>
  <c r="G71" i="20"/>
  <c r="H160" i="13" l="1"/>
  <c r="G1327" i="20"/>
  <c r="G1821" i="20"/>
  <c r="G1402" i="20"/>
  <c r="G1838" i="20"/>
  <c r="G2031" i="20"/>
  <c r="G583" i="20"/>
  <c r="G1950" i="20"/>
  <c r="G205" i="20"/>
  <c r="G649" i="20"/>
  <c r="G1557" i="20"/>
  <c r="G664" i="20"/>
  <c r="G337" i="20"/>
  <c r="G760" i="20"/>
  <c r="G110" i="20"/>
  <c r="G388" i="20"/>
  <c r="G1276" i="20"/>
  <c r="G1845" i="20"/>
  <c r="G1577" i="20"/>
  <c r="G1596" i="20"/>
  <c r="G1305" i="20"/>
  <c r="G1198" i="20"/>
  <c r="G767" i="20"/>
  <c r="G1997" i="20"/>
  <c r="N1977" i="20" s="1"/>
  <c r="G1016" i="20"/>
  <c r="G778" i="20"/>
  <c r="G212" i="20"/>
  <c r="G318" i="20"/>
  <c r="G1369" i="20"/>
  <c r="G1496" i="20"/>
  <c r="G1822" i="20"/>
  <c r="N1798" i="20" s="1"/>
  <c r="G1102" i="20"/>
  <c r="G1238" i="20"/>
  <c r="G1919" i="20"/>
  <c r="G1471" i="20"/>
  <c r="G752" i="20"/>
  <c r="G198" i="20"/>
  <c r="G404" i="20"/>
  <c r="G136" i="20"/>
  <c r="G516" i="20"/>
  <c r="G1185" i="20"/>
  <c r="G1827" i="20"/>
  <c r="G1842" i="20"/>
  <c r="G1395" i="20"/>
  <c r="G2038" i="20"/>
  <c r="G1586" i="20"/>
  <c r="G2003" i="20"/>
  <c r="G310" i="20"/>
  <c r="G323" i="20"/>
  <c r="G570" i="20"/>
  <c r="G1991" i="20"/>
  <c r="G1582" i="20"/>
  <c r="G876" i="20"/>
  <c r="G1387" i="20"/>
  <c r="G332" i="20"/>
  <c r="G1939" i="20"/>
  <c r="G1003" i="20"/>
  <c r="G1741" i="20"/>
  <c r="G739" i="20"/>
  <c r="G1005" i="20"/>
  <c r="G2000" i="20"/>
  <c r="G1994" i="20"/>
  <c r="G602" i="20"/>
  <c r="G914" i="20"/>
  <c r="G330" i="20"/>
  <c r="G1227" i="20"/>
  <c r="G553" i="20"/>
  <c r="G1451" i="20"/>
  <c r="G1107" i="20"/>
  <c r="G694" i="20"/>
  <c r="G1398" i="20"/>
  <c r="G1489" i="20"/>
  <c r="G397" i="20"/>
  <c r="G771" i="20"/>
  <c r="G417" i="20"/>
  <c r="G672" i="20"/>
  <c r="G338" i="20"/>
  <c r="G470" i="20"/>
  <c r="G1669" i="20"/>
  <c r="G950" i="20"/>
  <c r="G1953" i="20"/>
  <c r="G917" i="20"/>
  <c r="G1362" i="20"/>
  <c r="G1051" i="20"/>
  <c r="G700" i="20"/>
  <c r="G1404" i="20"/>
  <c r="G677" i="20"/>
  <c r="G851" i="20"/>
  <c r="G211" i="20"/>
  <c r="G656" i="20"/>
  <c r="G1215" i="20"/>
  <c r="G742" i="20"/>
  <c r="G1221" i="20"/>
  <c r="G2041" i="20"/>
  <c r="G1035" i="20"/>
  <c r="G1210" i="20"/>
  <c r="G1037" i="20"/>
  <c r="G1280" i="20"/>
  <c r="G143" i="20"/>
  <c r="G1594" i="20"/>
  <c r="G578" i="20"/>
  <c r="G1761" i="20"/>
  <c r="G1413" i="20"/>
  <c r="G697" i="20"/>
  <c r="G1021" i="20"/>
  <c r="G921" i="20"/>
  <c r="G1592" i="20"/>
  <c r="G1390" i="20"/>
  <c r="G690" i="20"/>
  <c r="G1093" i="20"/>
  <c r="G1591" i="20"/>
  <c r="G392" i="20"/>
  <c r="G1854" i="20"/>
  <c r="G462" i="20"/>
  <c r="G1859" i="20"/>
  <c r="G1850" i="20"/>
  <c r="G479" i="20"/>
  <c r="G1753" i="20"/>
  <c r="G650" i="20"/>
  <c r="G105" i="20"/>
  <c r="G552" i="20"/>
  <c r="G826" i="20"/>
  <c r="G1388" i="20"/>
  <c r="G1104" i="20"/>
  <c r="G659" i="20"/>
  <c r="G1386" i="20"/>
  <c r="G2037" i="20"/>
  <c r="G137" i="20"/>
  <c r="G744" i="20"/>
  <c r="G1558" i="20"/>
  <c r="G1385" i="20"/>
  <c r="G788" i="20"/>
  <c r="G1576" i="20"/>
  <c r="G196" i="20"/>
  <c r="G233" i="20"/>
  <c r="G563" i="20"/>
  <c r="G505" i="20"/>
  <c r="G695" i="20"/>
  <c r="G374" i="20"/>
  <c r="G674" i="20"/>
  <c r="G237" i="20"/>
  <c r="G484" i="20"/>
  <c r="G1030" i="20"/>
  <c r="G1482" i="20"/>
  <c r="G1049" i="20"/>
  <c r="G1510" i="20"/>
  <c r="G1094" i="20"/>
  <c r="G823" i="20"/>
  <c r="G931" i="20"/>
  <c r="G843" i="20"/>
  <c r="G1323" i="20"/>
  <c r="G877" i="20"/>
  <c r="G1273" i="20"/>
  <c r="G288" i="20"/>
  <c r="G1017" i="20"/>
  <c r="G1112" i="20"/>
  <c r="G576" i="20"/>
  <c r="G1019" i="20"/>
  <c r="G1573" i="20"/>
  <c r="G311" i="20"/>
  <c r="G1689" i="20"/>
  <c r="G1913" i="20"/>
  <c r="G880" i="20"/>
  <c r="G2046" i="20"/>
  <c r="G863" i="20"/>
  <c r="G130" i="20"/>
  <c r="G1202" i="20"/>
  <c r="G1503" i="20"/>
  <c r="G601" i="20"/>
  <c r="G104" i="20"/>
  <c r="G1488" i="20"/>
  <c r="G821" i="20"/>
  <c r="G597" i="20"/>
  <c r="G1817" i="20"/>
  <c r="G1990" i="20"/>
  <c r="G498" i="20"/>
  <c r="G1680" i="20"/>
  <c r="G111" i="20"/>
  <c r="G245" i="20"/>
  <c r="G2022" i="20"/>
  <c r="G1587" i="20"/>
  <c r="G230" i="20"/>
  <c r="G1295" i="20"/>
  <c r="G644" i="20"/>
  <c r="G1644" i="20"/>
  <c r="G1956" i="20"/>
  <c r="G648" i="20"/>
  <c r="G1665" i="20"/>
  <c r="G120" i="20"/>
  <c r="G250" i="20"/>
  <c r="G1135" i="20"/>
  <c r="G1544" i="20"/>
  <c r="G1297" i="20"/>
  <c r="G116" i="20"/>
  <c r="G745" i="20"/>
  <c r="G1943" i="20"/>
  <c r="G1214" i="20"/>
  <c r="G561" i="20"/>
  <c r="G1572" i="20"/>
  <c r="G1681" i="20"/>
  <c r="G1045" i="20"/>
  <c r="G313" i="20"/>
  <c r="G389" i="20"/>
  <c r="G1050" i="20"/>
  <c r="G862" i="20"/>
  <c r="G1302" i="20"/>
  <c r="G508" i="20"/>
  <c r="G610" i="20"/>
  <c r="G2012" i="20"/>
  <c r="G384" i="20"/>
  <c r="N358" i="20" s="1"/>
  <c r="G849" i="20"/>
  <c r="G564" i="20"/>
  <c r="N538" i="20" s="1"/>
  <c r="G1023" i="20"/>
  <c r="G777" i="20"/>
  <c r="G582" i="20"/>
  <c r="G1091" i="20"/>
  <c r="G234" i="20"/>
  <c r="G1364" i="20"/>
  <c r="G1113" i="20"/>
  <c r="G599" i="20"/>
  <c r="G1199" i="20"/>
  <c r="G147" i="20"/>
  <c r="G210" i="20"/>
  <c r="G383" i="20"/>
  <c r="G320" i="20"/>
  <c r="G1819" i="20"/>
  <c r="G962" i="20"/>
  <c r="G1934" i="20"/>
  <c r="G1855" i="20"/>
  <c r="G1828" i="20"/>
  <c r="G1138" i="20"/>
  <c r="G2007" i="20"/>
  <c r="G1022" i="20"/>
  <c r="G1219" i="20"/>
  <c r="G867" i="20"/>
  <c r="G854" i="20"/>
  <c r="G1509" i="20"/>
  <c r="G114" i="20"/>
  <c r="G145" i="20"/>
  <c r="G2019" i="20"/>
  <c r="G1583" i="20"/>
  <c r="G598" i="20"/>
  <c r="G608" i="20"/>
  <c r="G1560" i="20"/>
  <c r="G135" i="20"/>
  <c r="G1226" i="20"/>
  <c r="G928" i="20"/>
  <c r="G604" i="20"/>
  <c r="G1566" i="20"/>
  <c r="G943" i="20"/>
  <c r="G1140" i="20"/>
  <c r="G380" i="20"/>
  <c r="G1026" i="20"/>
  <c r="G1549" i="20"/>
  <c r="G1746" i="20"/>
  <c r="G1040" i="20"/>
  <c r="G1949" i="20"/>
  <c r="G473" i="20"/>
  <c r="G1313" i="20"/>
  <c r="G1122" i="20"/>
  <c r="G406" i="20"/>
  <c r="G556" i="20"/>
  <c r="G509" i="20"/>
  <c r="G1922" i="20"/>
  <c r="G148" i="20"/>
  <c r="G1325" i="20"/>
  <c r="G1642" i="20"/>
  <c r="N1618" i="20" s="1"/>
  <c r="G1213" i="20"/>
  <c r="G915" i="20"/>
  <c r="G1046" i="20"/>
  <c r="G1201" i="20"/>
  <c r="G1464" i="20"/>
  <c r="G1599" i="20"/>
  <c r="G308" i="20"/>
  <c r="G682" i="20"/>
  <c r="G216" i="20"/>
  <c r="G1316" i="20"/>
  <c r="G1007" i="20"/>
  <c r="G668" i="20"/>
  <c r="G1652" i="20"/>
  <c r="G1293" i="20"/>
  <c r="G670" i="20"/>
  <c r="G686" i="20"/>
  <c r="G1188" i="20"/>
  <c r="G647" i="20"/>
  <c r="G1380" i="20"/>
  <c r="G759" i="20"/>
  <c r="G1418" i="20"/>
  <c r="G1189" i="20"/>
  <c r="G1955" i="20"/>
  <c r="G735" i="20"/>
  <c r="G786" i="20"/>
  <c r="G912" i="20"/>
  <c r="G106" i="20"/>
  <c r="G375" i="20"/>
  <c r="G415" i="20"/>
  <c r="G748" i="20"/>
  <c r="G126" i="20"/>
  <c r="G551" i="20"/>
  <c r="G1487" i="20"/>
  <c r="G1776" i="20"/>
  <c r="G1041" i="20"/>
  <c r="G413" i="20"/>
  <c r="G1143" i="20"/>
  <c r="G247" i="20"/>
  <c r="G1235" i="20"/>
  <c r="G385" i="20"/>
  <c r="G1909" i="20"/>
  <c r="G1330" i="20"/>
  <c r="G1952" i="20"/>
  <c r="G1415" i="20"/>
  <c r="G1684" i="20"/>
  <c r="G1326" i="20"/>
  <c r="G1849" i="20"/>
  <c r="G1281" i="20"/>
  <c r="N1258" i="20" s="1"/>
  <c r="G483" i="20"/>
  <c r="G149" i="20"/>
  <c r="G1861" i="20"/>
  <c r="G673" i="20"/>
  <c r="G1921" i="20"/>
  <c r="G1656" i="20"/>
  <c r="G1029" i="20"/>
  <c r="G1958" i="20"/>
  <c r="G1744" i="20"/>
  <c r="G869" i="20"/>
  <c r="G651" i="20"/>
  <c r="G1013" i="20"/>
  <c r="G935" i="20"/>
  <c r="G1762" i="20"/>
  <c r="G1095" i="20"/>
  <c r="G497" i="20"/>
  <c r="G1417" i="20"/>
  <c r="G195" i="20"/>
  <c r="G1650" i="20"/>
  <c r="G1852" i="20"/>
  <c r="G300" i="20"/>
  <c r="G934" i="20"/>
  <c r="G1319" i="20"/>
  <c r="G580" i="20"/>
  <c r="G1757" i="20"/>
  <c r="G1470" i="20"/>
  <c r="G1866" i="20"/>
  <c r="G1287" i="20"/>
  <c r="G765" i="20"/>
  <c r="G1760" i="20"/>
  <c r="G1541" i="20"/>
  <c r="G1676" i="20"/>
  <c r="G2030" i="20"/>
  <c r="G1195" i="20"/>
  <c r="G1474" i="20"/>
  <c r="G693" i="20"/>
  <c r="G1043" i="20"/>
  <c r="G569" i="20"/>
  <c r="G1764" i="20"/>
  <c r="G768" i="20"/>
  <c r="G1099" i="20"/>
  <c r="G1925" i="20"/>
  <c r="G469" i="20"/>
  <c r="G1209" i="20"/>
  <c r="G1375" i="20"/>
  <c r="G1999" i="20"/>
  <c r="G1368" i="20"/>
  <c r="G235" i="20"/>
  <c r="G565" i="20"/>
  <c r="G1836" i="20"/>
  <c r="G192" i="20"/>
  <c r="G1098" i="20"/>
  <c r="G423" i="20"/>
  <c r="G858" i="20"/>
  <c r="G1197" i="20"/>
  <c r="G577" i="20"/>
  <c r="G1363" i="20"/>
  <c r="G661" i="20"/>
  <c r="G857" i="20"/>
  <c r="G1674" i="20"/>
  <c r="G1649" i="20"/>
  <c r="G132" i="20"/>
  <c r="G1634" i="20"/>
  <c r="G1825" i="20"/>
  <c r="G421" i="20"/>
  <c r="G1277" i="20"/>
  <c r="G107" i="20"/>
  <c r="G488" i="20"/>
  <c r="G113" i="20"/>
  <c r="G226" i="20"/>
  <c r="G405" i="20"/>
  <c r="G1191" i="20"/>
  <c r="G378" i="20"/>
  <c r="G1733" i="20"/>
  <c r="G381" i="20"/>
  <c r="G1149" i="20"/>
  <c r="G787" i="20"/>
  <c r="G1823" i="20"/>
  <c r="G930" i="20"/>
  <c r="G467" i="20"/>
  <c r="G1569" i="20"/>
  <c r="G1752" i="20"/>
  <c r="G595" i="20"/>
  <c r="G222" i="20"/>
  <c r="G1217" i="20"/>
  <c r="G1667" i="20"/>
  <c r="G1734" i="20"/>
  <c r="G1928" i="20"/>
  <c r="G925" i="20"/>
  <c r="G336" i="20"/>
  <c r="G840" i="20"/>
  <c r="G379" i="20"/>
  <c r="G1769" i="20"/>
  <c r="G1218" i="20"/>
  <c r="G1772" i="20"/>
  <c r="G1228" i="20"/>
  <c r="G504" i="20"/>
  <c r="G1829" i="20"/>
  <c r="G155" i="20"/>
  <c r="G1996" i="20"/>
  <c r="G924" i="20"/>
  <c r="G755" i="20"/>
  <c r="G567" i="20"/>
  <c r="G957" i="20"/>
  <c r="G2002" i="20"/>
  <c r="G927" i="20"/>
  <c r="G199" i="20"/>
  <c r="G1279" i="20"/>
  <c r="G481" i="20"/>
  <c r="G1848" i="20"/>
  <c r="G1766" i="20"/>
  <c r="G1216" i="20"/>
  <c r="G1584" i="20"/>
  <c r="G2016" i="20"/>
  <c r="G555" i="20"/>
  <c r="G2042" i="20"/>
  <c r="G1367" i="20"/>
  <c r="G1025" i="20"/>
  <c r="G1296" i="20"/>
  <c r="G1856" i="20"/>
  <c r="G1581" i="20"/>
  <c r="G1292" i="20"/>
  <c r="G293" i="20"/>
  <c r="G678" i="20"/>
  <c r="G1401" i="20"/>
  <c r="G1465" i="20"/>
  <c r="G1768" i="20"/>
  <c r="G676" i="20"/>
  <c r="G824" i="20"/>
  <c r="G687" i="20"/>
  <c r="G1812" i="20"/>
  <c r="G1564" i="20"/>
  <c r="G1379" i="20"/>
  <c r="G584" i="20"/>
  <c r="G779" i="20"/>
  <c r="G1774" i="20"/>
  <c r="G831" i="20"/>
  <c r="G1851" i="20"/>
  <c r="G2044" i="20"/>
  <c r="G835" i="20"/>
  <c r="G1014" i="20"/>
  <c r="N988" i="20" s="1"/>
  <c r="G1208" i="20"/>
  <c r="G1860" i="20"/>
  <c r="G1903" i="20"/>
  <c r="G1414" i="20"/>
  <c r="G1589" i="20"/>
  <c r="G688" i="20"/>
  <c r="G1773" i="20"/>
  <c r="G1690" i="20"/>
  <c r="G780" i="20"/>
  <c r="G335" i="20"/>
  <c r="G1750" i="20"/>
  <c r="G1190" i="20"/>
  <c r="G757" i="20"/>
  <c r="G1831" i="20"/>
  <c r="G108" i="20"/>
  <c r="G969" i="20"/>
  <c r="G1847" i="20"/>
  <c r="G290" i="20"/>
  <c r="G1047" i="20"/>
  <c r="G1111" i="20"/>
  <c r="G1479" i="20"/>
  <c r="G1677" i="20"/>
  <c r="G949" i="20"/>
  <c r="G1729" i="20"/>
  <c r="G1738" i="20"/>
  <c r="G133" i="20"/>
  <c r="G1120" i="20"/>
  <c r="G1300" i="20"/>
  <c r="G283" i="20"/>
  <c r="G1924" i="20"/>
  <c r="G295" i="20"/>
  <c r="G1653" i="20"/>
  <c r="G970" i="20"/>
  <c r="G134" i="20"/>
  <c r="G762" i="20"/>
  <c r="G1748" i="20"/>
  <c r="G1749" i="20"/>
  <c r="G2043" i="20"/>
  <c r="G1597" i="20"/>
  <c r="G1636" i="20"/>
  <c r="G131" i="20"/>
  <c r="G1407" i="20"/>
  <c r="G297" i="20"/>
  <c r="G141" i="20"/>
  <c r="G1009" i="20"/>
  <c r="G772" i="20"/>
  <c r="G1926" i="20"/>
  <c r="G208" i="20"/>
  <c r="G1756" i="20"/>
  <c r="G403" i="20"/>
  <c r="G1232" i="20"/>
  <c r="G493" i="20"/>
  <c r="G1632" i="20"/>
  <c r="G410" i="20"/>
  <c r="G102" i="20"/>
  <c r="G1662" i="20"/>
  <c r="G239" i="20"/>
  <c r="G221" i="20"/>
  <c r="G322" i="20"/>
  <c r="G1904" i="20"/>
  <c r="G1547" i="20"/>
  <c r="G642" i="20"/>
  <c r="G944" i="20"/>
  <c r="G1458" i="20"/>
  <c r="G1721" i="20"/>
  <c r="G1830" i="20"/>
  <c r="G1033" i="20"/>
  <c r="G201" i="20"/>
  <c r="G2028" i="20"/>
  <c r="G1944" i="20"/>
  <c r="G784" i="20"/>
  <c r="G846" i="20"/>
  <c r="G919" i="20"/>
  <c r="G296" i="20"/>
  <c r="G1686" i="20"/>
  <c r="G1018" i="20"/>
  <c r="G518" i="20"/>
  <c r="G1917" i="20"/>
  <c r="G1930" i="20"/>
  <c r="G945" i="20"/>
  <c r="G1124" i="20"/>
  <c r="G284" i="20"/>
  <c r="G517" i="20"/>
  <c r="G1600" i="20"/>
  <c r="G215" i="20"/>
  <c r="G387" i="20"/>
  <c r="G911" i="20"/>
  <c r="G339" i="20"/>
  <c r="G1682" i="20"/>
  <c r="G1314" i="20"/>
  <c r="G773" i="20"/>
  <c r="G933" i="20"/>
  <c r="G1585" i="20"/>
  <c r="G743" i="20"/>
  <c r="N718" i="20" s="1"/>
  <c r="G428" i="20"/>
  <c r="G954" i="20"/>
  <c r="G1477" i="20"/>
  <c r="G1824" i="20"/>
  <c r="G596" i="20"/>
  <c r="G1491" i="20"/>
  <c r="G573" i="20"/>
  <c r="G942" i="20"/>
  <c r="G477" i="20"/>
  <c r="G766" i="20"/>
  <c r="G1995" i="20"/>
  <c r="G841" i="20"/>
  <c r="G1409" i="20"/>
  <c r="G1765" i="20"/>
  <c r="G781" i="20"/>
  <c r="G478" i="20"/>
  <c r="G1598" i="20"/>
  <c r="G1736" i="20"/>
  <c r="G1144" i="20"/>
  <c r="G1376" i="20"/>
  <c r="G1312" i="20"/>
  <c r="G1239" i="20"/>
  <c r="G220" i="20"/>
  <c r="G860" i="20"/>
  <c r="G512" i="20"/>
  <c r="G246" i="20"/>
  <c r="G1992" i="20"/>
  <c r="G1100" i="20"/>
  <c r="G1121" i="20"/>
  <c r="G926" i="20"/>
  <c r="G461" i="20"/>
  <c r="G600" i="20"/>
  <c r="G1724" i="20"/>
  <c r="G692" i="20"/>
  <c r="G967" i="20"/>
  <c r="G123" i="20"/>
  <c r="G422" i="20"/>
  <c r="G202" i="20"/>
  <c r="G503" i="20"/>
  <c r="G1927" i="20"/>
  <c r="G1322" i="20"/>
  <c r="G1666" i="20"/>
  <c r="G588" i="20"/>
  <c r="G1905" i="20"/>
  <c r="G372" i="20"/>
  <c r="G1056" i="20"/>
  <c r="G1932" i="20"/>
  <c r="G393" i="20"/>
  <c r="G747" i="20"/>
  <c r="G319" i="20"/>
  <c r="G1835" i="20"/>
  <c r="G865" i="20"/>
  <c r="G606" i="20"/>
  <c r="G782" i="20"/>
  <c r="G1929" i="20"/>
  <c r="G200" i="20"/>
  <c r="G684" i="20"/>
  <c r="G750" i="20"/>
  <c r="G1204" i="20"/>
  <c r="G228" i="20"/>
  <c r="G1145" i="20"/>
  <c r="G761" i="20"/>
  <c r="G966" i="20"/>
  <c r="G1725" i="20"/>
  <c r="G1373" i="20"/>
  <c r="G554" i="20"/>
  <c r="G653" i="20"/>
  <c r="G753" i="20"/>
  <c r="G1055" i="20"/>
  <c r="G249" i="20"/>
  <c r="G1001" i="20"/>
  <c r="G918" i="20"/>
  <c r="G2035" i="20"/>
  <c r="G932" i="20"/>
  <c r="G770" i="20"/>
  <c r="G1843" i="20"/>
  <c r="G829" i="20"/>
  <c r="G654" i="20"/>
  <c r="G1015" i="20"/>
  <c r="G117" i="20"/>
  <c r="G1504" i="20"/>
  <c r="G1657" i="20"/>
  <c r="G836" i="20"/>
  <c r="G1811" i="20"/>
  <c r="G1462" i="20"/>
  <c r="N1438" i="20" s="1"/>
  <c r="G394" i="20"/>
  <c r="G287" i="20"/>
  <c r="G324" i="20"/>
  <c r="G1196" i="20"/>
  <c r="G304" i="20"/>
  <c r="G1933" i="20"/>
  <c r="G965" i="20"/>
  <c r="G1383" i="20"/>
  <c r="G281" i="20"/>
  <c r="G1505" i="20"/>
  <c r="G1743" i="20"/>
  <c r="G1938" i="20"/>
  <c r="G1957" i="20"/>
  <c r="G499" i="20"/>
  <c r="G465" i="20"/>
  <c r="G861" i="20"/>
  <c r="G769" i="20"/>
  <c r="G1730" i="20"/>
  <c r="G238" i="20"/>
  <c r="G1543" i="20"/>
  <c r="G1203" i="20"/>
  <c r="G592" i="20"/>
  <c r="G1125" i="20"/>
  <c r="G244" i="20"/>
  <c r="G837" i="20"/>
  <c r="G153" i="20"/>
  <c r="G1476" i="20"/>
  <c r="G1763" i="20"/>
  <c r="G579" i="20"/>
  <c r="G1200" i="20"/>
  <c r="G1742" i="20"/>
  <c r="G1777" i="20"/>
  <c r="G758" i="20"/>
  <c r="G492" i="20"/>
  <c r="G427" i="20"/>
  <c r="G2005" i="20"/>
  <c r="G2033" i="20"/>
  <c r="G785" i="20"/>
  <c r="G1412" i="20"/>
  <c r="G1053" i="20"/>
  <c r="G1306" i="20"/>
  <c r="G1206" i="20"/>
  <c r="G496" i="20"/>
  <c r="G868" i="20"/>
  <c r="G660" i="20"/>
  <c r="G922" i="20"/>
  <c r="G1377" i="20"/>
  <c r="G562" i="20"/>
  <c r="G839" i="20"/>
  <c r="G1637" i="20"/>
  <c r="G1096" i="20"/>
  <c r="G1844" i="20"/>
  <c r="G1936" i="20"/>
  <c r="G1403" i="20"/>
  <c r="G1671" i="20"/>
  <c r="G2039" i="20"/>
  <c r="G937" i="20"/>
  <c r="G1309" i="20"/>
  <c r="G140" i="20"/>
  <c r="G655" i="20"/>
  <c r="G746" i="20"/>
  <c r="G408" i="20"/>
  <c r="G2001" i="20"/>
  <c r="G1568" i="20"/>
  <c r="G691" i="20"/>
  <c r="G1906" i="20"/>
  <c r="G1685" i="20"/>
  <c r="G1233" i="20"/>
  <c r="G1908" i="20"/>
  <c r="G159" i="20"/>
  <c r="G1008" i="20"/>
  <c r="G1010" i="20"/>
  <c r="G376" i="20"/>
  <c r="G1723" i="20"/>
  <c r="G398" i="20"/>
  <c r="G333" i="20"/>
  <c r="G2025" i="20"/>
  <c r="G679" i="20"/>
  <c r="G399" i="20"/>
  <c r="G845" i="20"/>
  <c r="G1127" i="20"/>
  <c r="G1303" i="20"/>
  <c r="G571" i="20"/>
  <c r="G1816" i="20"/>
  <c r="G1466" i="20"/>
  <c r="G150" i="20"/>
  <c r="G560" i="20"/>
  <c r="G1059" i="20"/>
  <c r="G1635" i="20"/>
  <c r="G495" i="20"/>
  <c r="G1779" i="20"/>
  <c r="G1492" i="20"/>
  <c r="G1865" i="20"/>
  <c r="G590" i="20"/>
  <c r="G513" i="20"/>
  <c r="G377" i="20"/>
  <c r="G1646" i="20"/>
  <c r="G749" i="20"/>
  <c r="G1453" i="20"/>
  <c r="G1455" i="20"/>
  <c r="G557" i="20"/>
  <c r="G870" i="20"/>
  <c r="G2024" i="20"/>
  <c r="G559" i="20"/>
  <c r="G213" i="20"/>
  <c r="G1211" i="20"/>
  <c r="G419" i="20"/>
  <c r="G409" i="20"/>
  <c r="G866" i="20"/>
  <c r="G754" i="20"/>
  <c r="G951" i="20"/>
  <c r="G875" i="20"/>
  <c r="G122" i="20"/>
  <c r="G1485" i="20"/>
  <c r="G936" i="20"/>
  <c r="G285" i="20"/>
  <c r="G1271" i="20"/>
  <c r="G204" i="20"/>
  <c r="G1846" i="20"/>
  <c r="G1416" i="20"/>
  <c r="G1959" i="20"/>
  <c r="G1552" i="20"/>
  <c r="G1820" i="20"/>
  <c r="G764" i="20"/>
  <c r="G1126" i="20"/>
  <c r="G1655" i="20"/>
  <c r="G139" i="20"/>
  <c r="G2014" i="20"/>
  <c r="G1780" i="20"/>
  <c r="G501" i="20"/>
  <c r="G2029" i="20"/>
  <c r="G236" i="20"/>
  <c r="G2011" i="20"/>
  <c r="G1044" i="20"/>
  <c r="G207" i="20"/>
  <c r="G1460" i="20"/>
  <c r="G331" i="20"/>
  <c r="G1324" i="20"/>
  <c r="G1148" i="20"/>
  <c r="G1483" i="20"/>
  <c r="G474" i="20"/>
  <c r="N448" i="20" s="1"/>
  <c r="G1770" i="20"/>
  <c r="G1661" i="20"/>
  <c r="G1004" i="20"/>
  <c r="G317" i="20"/>
  <c r="G1571" i="20"/>
  <c r="G737" i="20"/>
  <c r="G1480" i="20"/>
  <c r="G2032" i="20"/>
  <c r="G463" i="20"/>
  <c r="G464" i="20"/>
  <c r="G468" i="20"/>
  <c r="G1920" i="20"/>
  <c r="G1301" i="20"/>
  <c r="G203" i="20"/>
  <c r="G1150" i="20"/>
  <c r="G1942" i="20"/>
  <c r="G1506" i="20"/>
  <c r="G224" i="20"/>
  <c r="G1668" i="20"/>
  <c r="G1048" i="20"/>
  <c r="G515" i="20"/>
  <c r="G1643" i="20"/>
  <c r="G1550" i="20"/>
  <c r="G2009" i="20"/>
  <c r="G959" i="20"/>
  <c r="G2040" i="20"/>
  <c r="G1579" i="20"/>
  <c r="G1771" i="20"/>
  <c r="G956" i="20"/>
  <c r="G1951" i="20"/>
  <c r="G1038" i="20"/>
  <c r="G302" i="20"/>
  <c r="G589" i="20"/>
  <c r="G1193" i="20"/>
  <c r="N1168" i="20" s="1"/>
  <c r="G1556" i="20"/>
  <c r="G194" i="20"/>
  <c r="G151" i="20"/>
  <c r="G511" i="20"/>
  <c r="G834" i="20"/>
  <c r="G871" i="20"/>
  <c r="I97" i="20"/>
  <c r="G291" i="20"/>
  <c r="G414" i="20"/>
  <c r="G833" i="20"/>
  <c r="N808" i="20" s="1"/>
  <c r="G671" i="20"/>
  <c r="G1130" i="20"/>
  <c r="G732" i="20"/>
  <c r="G329" i="20"/>
  <c r="G1826" i="20"/>
  <c r="G118" i="20"/>
  <c r="G652" i="20"/>
  <c r="N628" i="20" s="1"/>
  <c r="G1639" i="20"/>
  <c r="G1222" i="20"/>
  <c r="G1841" i="20"/>
  <c r="G1394" i="20"/>
  <c r="G658" i="20"/>
  <c r="G645" i="20"/>
  <c r="G1907" i="20"/>
  <c r="G1754" i="20"/>
  <c r="G850" i="20"/>
  <c r="G2010" i="20"/>
  <c r="G873" i="20"/>
  <c r="G1960" i="20"/>
  <c r="G666" i="20"/>
  <c r="G128" i="20"/>
  <c r="G1147" i="20"/>
  <c r="G1057" i="20"/>
  <c r="G1923" i="20"/>
  <c r="G878" i="20"/>
  <c r="G400" i="20"/>
  <c r="G1372" i="20"/>
  <c r="N1348" i="20" s="1"/>
  <c r="G121" i="20"/>
  <c r="G305" i="20"/>
  <c r="G1384" i="20"/>
  <c r="G1673" i="20"/>
  <c r="G229" i="20"/>
  <c r="G227" i="20"/>
  <c r="G1382" i="20"/>
  <c r="G373" i="20"/>
  <c r="G696" i="20"/>
  <c r="G1641" i="20"/>
  <c r="G1658" i="20"/>
  <c r="G519" i="20"/>
  <c r="G827" i="20"/>
  <c r="G828" i="20"/>
  <c r="G1498" i="20"/>
  <c r="G2026" i="20"/>
  <c r="G223" i="20"/>
  <c r="G282" i="20"/>
  <c r="G1570" i="20"/>
  <c r="G1052" i="20"/>
  <c r="G913" i="20"/>
  <c r="G774" i="20"/>
  <c r="G206" i="20"/>
  <c r="N178" i="20" s="1"/>
  <c r="G1134" i="20"/>
  <c r="G1054" i="20"/>
  <c r="G489" i="20"/>
  <c r="G482" i="20"/>
  <c r="G112" i="20"/>
  <c r="G1679" i="20"/>
  <c r="G1278" i="20"/>
  <c r="G1502" i="20"/>
  <c r="G1559" i="20"/>
  <c r="G124" i="20"/>
  <c r="G1678" i="20"/>
  <c r="G2013" i="20"/>
  <c r="G1575" i="20"/>
  <c r="G607" i="20"/>
  <c r="G689" i="20"/>
  <c r="G101" i="20"/>
  <c r="G1105" i="20"/>
  <c r="G1236" i="20"/>
  <c r="G292" i="20"/>
  <c r="G1020" i="20"/>
  <c r="G494" i="20"/>
  <c r="G289" i="20"/>
  <c r="G1106" i="20"/>
  <c r="G109" i="20"/>
  <c r="G948" i="20"/>
  <c r="G2049" i="20"/>
  <c r="G1461" i="20"/>
  <c r="G1405" i="20"/>
  <c r="G1633" i="20"/>
  <c r="G395" i="20"/>
  <c r="G2045" i="20"/>
  <c r="G1469" i="20"/>
  <c r="G1365" i="20"/>
  <c r="G1654" i="20"/>
  <c r="G581" i="20"/>
  <c r="G855" i="20"/>
  <c r="G1948" i="20"/>
  <c r="G1396" i="20"/>
  <c r="G946" i="20"/>
  <c r="G1116" i="20"/>
  <c r="G1638" i="20"/>
  <c r="G1840" i="20"/>
  <c r="G1593" i="20"/>
  <c r="G424" i="20"/>
  <c r="G1231" i="20"/>
  <c r="G1683" i="20"/>
  <c r="G825" i="20"/>
  <c r="G1283" i="20"/>
  <c r="G1308" i="20"/>
  <c r="G1472" i="20"/>
  <c r="G2006" i="20"/>
  <c r="G940" i="20"/>
  <c r="G1648" i="20"/>
  <c r="G1223" i="20"/>
  <c r="G475" i="20"/>
  <c r="G1133" i="20"/>
  <c r="G1315" i="20"/>
  <c r="G641" i="20"/>
  <c r="G430" i="20"/>
  <c r="G138" i="20"/>
  <c r="G1118" i="20"/>
  <c r="G1032" i="20"/>
  <c r="G1675" i="20"/>
  <c r="G240" i="20"/>
  <c r="G471" i="20"/>
  <c r="G241" i="20"/>
  <c r="G734" i="20"/>
  <c r="G1727" i="20"/>
  <c r="G340" i="20"/>
  <c r="G1182" i="20"/>
  <c r="G646" i="20"/>
  <c r="G1321" i="20"/>
  <c r="G1651" i="20"/>
  <c r="G386" i="20"/>
  <c r="G574" i="20"/>
  <c r="G402" i="20"/>
  <c r="G1732" i="20"/>
  <c r="N1708" i="20" s="1"/>
  <c r="G466" i="20"/>
  <c r="G1663" i="20"/>
  <c r="G306" i="20"/>
  <c r="G510" i="20"/>
  <c r="G1459" i="20"/>
  <c r="G412" i="20"/>
  <c r="G1229" i="20"/>
  <c r="G572" i="20"/>
  <c r="G1931" i="20"/>
  <c r="G1478" i="20"/>
  <c r="G500" i="20"/>
  <c r="G1740" i="20"/>
  <c r="G1867" i="20"/>
  <c r="G1137" i="20"/>
  <c r="G740" i="20"/>
  <c r="G1595" i="20"/>
  <c r="G325" i="20"/>
  <c r="G609" i="20"/>
  <c r="G1366" i="20"/>
  <c r="G485" i="20"/>
  <c r="G856" i="20"/>
  <c r="G830" i="20"/>
  <c r="G1361" i="20"/>
  <c r="G1119" i="20"/>
  <c r="G1940" i="20"/>
  <c r="G1778" i="20"/>
  <c r="G1457" i="20"/>
  <c r="G127" i="20"/>
  <c r="G2004" i="20"/>
  <c r="G144" i="20"/>
  <c r="G1659" i="20"/>
  <c r="G2017" i="20"/>
  <c r="G593" i="20"/>
  <c r="G232" i="20"/>
  <c r="G1868" i="20"/>
  <c r="G1862" i="20"/>
  <c r="G1454" i="20"/>
  <c r="G1289" i="20"/>
  <c r="G847" i="20"/>
  <c r="G115" i="20"/>
  <c r="N88" i="20" s="1"/>
  <c r="G1998" i="20"/>
  <c r="G669" i="20"/>
  <c r="G487" i="20"/>
  <c r="G1813" i="20"/>
  <c r="G1915" i="20"/>
  <c r="G1117" i="20"/>
  <c r="G952" i="20"/>
  <c r="G585" i="20"/>
  <c r="G1224" i="20"/>
  <c r="G961" i="20"/>
  <c r="G1031" i="20"/>
  <c r="G1397" i="20"/>
  <c r="G1722" i="20"/>
  <c r="G218" i="20"/>
  <c r="G1371" i="20"/>
  <c r="G680" i="20"/>
  <c r="G1901" i="20"/>
  <c r="G1499" i="20"/>
  <c r="G1294" i="20"/>
  <c r="G1814" i="20"/>
  <c r="G591" i="20"/>
  <c r="G1108" i="20"/>
  <c r="G663" i="20"/>
  <c r="G1546" i="20"/>
  <c r="G756" i="20"/>
  <c r="G1393" i="20"/>
  <c r="G328" i="20"/>
  <c r="G1647" i="20"/>
  <c r="G1205" i="20"/>
  <c r="G312" i="20"/>
  <c r="G1419" i="20"/>
  <c r="G1274" i="20"/>
  <c r="G321" i="20"/>
  <c r="G156" i="20"/>
  <c r="G968" i="20"/>
  <c r="G1910" i="20"/>
  <c r="N1888" i="20" s="1"/>
  <c r="G1945" i="20"/>
  <c r="G418" i="20"/>
  <c r="G859" i="20"/>
  <c r="G491" i="20"/>
  <c r="G152" i="20"/>
  <c r="G1042" i="20"/>
  <c r="G864" i="20"/>
  <c r="G1028" i="20"/>
  <c r="G1935" i="20"/>
  <c r="G520" i="20"/>
  <c r="G923" i="20"/>
  <c r="N898" i="20" s="1"/>
  <c r="G736" i="20"/>
  <c r="G1739" i="20"/>
  <c r="G407" i="20"/>
  <c r="G685" i="20"/>
  <c r="G844" i="20"/>
  <c r="G1918" i="20"/>
  <c r="G1745" i="20"/>
  <c r="G790" i="20"/>
  <c r="G1542" i="20"/>
  <c r="G327" i="20"/>
  <c r="G920" i="20"/>
  <c r="G953" i="20"/>
  <c r="G1408" i="20"/>
  <c r="G605" i="20"/>
  <c r="G603" i="20"/>
  <c r="G783" i="20"/>
  <c r="G193" i="20"/>
  <c r="G947" i="20"/>
  <c r="G586" i="20"/>
  <c r="G242" i="20"/>
  <c r="G1545" i="20"/>
  <c r="G1578" i="20"/>
  <c r="G103" i="20"/>
  <c r="G587" i="20"/>
  <c r="G741" i="20"/>
  <c r="G1832" i="20"/>
  <c r="G848" i="20"/>
  <c r="G789" i="20"/>
  <c r="G231" i="20"/>
  <c r="G852" i="20"/>
  <c r="G842" i="20"/>
  <c r="G507" i="20"/>
  <c r="G1737" i="20"/>
  <c r="G314" i="20"/>
  <c r="G832" i="20"/>
  <c r="G1406" i="20"/>
  <c r="G1370" i="20"/>
  <c r="G963" i="20"/>
  <c r="G1411" i="20"/>
  <c r="G1508" i="20"/>
  <c r="G763" i="20"/>
  <c r="G1207" i="20"/>
  <c r="G125" i="20"/>
  <c r="G214" i="20"/>
  <c r="G420" i="20"/>
  <c r="G1731" i="20"/>
  <c r="G316" i="20"/>
  <c r="G872" i="20"/>
  <c r="G1555" i="20"/>
  <c r="G1181" i="20"/>
  <c r="G667" i="20"/>
  <c r="G299" i="20"/>
  <c r="G248" i="20"/>
  <c r="G1058" i="20"/>
  <c r="G1815" i="20"/>
  <c r="G1588" i="20"/>
  <c r="G958" i="20"/>
  <c r="G1183" i="20"/>
  <c r="G1463" i="20"/>
  <c r="G1381" i="20"/>
  <c r="G1574" i="20"/>
  <c r="G1837" i="20"/>
  <c r="G1299" i="20"/>
  <c r="G396" i="20"/>
  <c r="G326" i="20"/>
  <c r="G1954" i="20"/>
  <c r="G2023" i="20"/>
  <c r="G879" i="20"/>
  <c r="G1317" i="20"/>
  <c r="G568" i="20"/>
  <c r="G2034" i="20"/>
  <c r="G1290" i="20"/>
  <c r="G1548" i="20"/>
  <c r="G733" i="20"/>
  <c r="G1240" i="20"/>
  <c r="G1024" i="20"/>
  <c r="G294" i="20"/>
  <c r="N268" i="20" s="1"/>
  <c r="G2048" i="20"/>
  <c r="G1284" i="20"/>
  <c r="G698" i="20"/>
  <c r="G775" i="20"/>
  <c r="G1563" i="20"/>
  <c r="G1818" i="20"/>
  <c r="G1110" i="20"/>
  <c r="G1580" i="20"/>
  <c r="G1036" i="20"/>
  <c r="G1142" i="20"/>
  <c r="G1916" i="20"/>
  <c r="G1187" i="20"/>
  <c r="G1670" i="20"/>
  <c r="G1186" i="20"/>
  <c r="G1864" i="20"/>
  <c r="G2027" i="20"/>
  <c r="G2008" i="20"/>
  <c r="G1392" i="20"/>
  <c r="G938" i="20"/>
  <c r="G1311" i="20"/>
  <c r="G731" i="20"/>
  <c r="G1123" i="20"/>
  <c r="G1006" i="20"/>
  <c r="G1109" i="20"/>
  <c r="G916" i="20"/>
  <c r="G1012" i="20"/>
  <c r="G298" i="20"/>
  <c r="G1911" i="20"/>
  <c r="G1128" i="20"/>
  <c r="G1307" i="20"/>
  <c r="G1389" i="20"/>
  <c r="G1759" i="20"/>
  <c r="G939" i="20"/>
  <c r="G382" i="20"/>
  <c r="G157" i="20"/>
  <c r="G1507" i="20"/>
  <c r="G1863" i="20"/>
  <c r="G1194" i="20"/>
  <c r="G1554" i="20"/>
  <c r="G681" i="20"/>
  <c r="G1937" i="20"/>
  <c r="G2018" i="20"/>
  <c r="G1131" i="20"/>
  <c r="G964" i="20"/>
  <c r="G2020" i="20"/>
  <c r="G1272" i="20"/>
  <c r="G1497" i="20"/>
  <c r="G1399" i="20"/>
  <c r="G209" i="20"/>
  <c r="G1420" i="20"/>
  <c r="G1834" i="20"/>
  <c r="G1688" i="20"/>
  <c r="G154" i="20"/>
  <c r="G558" i="20"/>
  <c r="G219" i="20"/>
  <c r="G1329" i="20"/>
  <c r="G1097" i="20"/>
  <c r="G1115" i="20"/>
  <c r="G217" i="20"/>
  <c r="G1645" i="20"/>
  <c r="G1726" i="20"/>
  <c r="G1288" i="20"/>
  <c r="G502" i="20"/>
  <c r="G1631" i="20"/>
  <c r="G776" i="20"/>
  <c r="G1378" i="20"/>
  <c r="G1039" i="20"/>
  <c r="G1400" i="20"/>
  <c r="G1234" i="20"/>
  <c r="G1034" i="20"/>
  <c r="G1500" i="20"/>
  <c r="G1291" i="20"/>
  <c r="G662" i="20"/>
  <c r="G476" i="20"/>
  <c r="G1320" i="20"/>
  <c r="G1565" i="20"/>
  <c r="G1298" i="20"/>
  <c r="G225" i="20"/>
  <c r="G566" i="20"/>
  <c r="G309" i="20"/>
  <c r="G1136" i="20"/>
  <c r="G1494" i="20"/>
  <c r="G1758" i="20"/>
  <c r="G1129" i="20"/>
  <c r="G1728" i="20"/>
  <c r="G1237" i="20"/>
  <c r="G1475" i="20"/>
  <c r="G1775" i="20"/>
  <c r="G160" i="20"/>
  <c r="G1146" i="20"/>
  <c r="G1858" i="20"/>
  <c r="G1493" i="20"/>
  <c r="G1941" i="20"/>
  <c r="G665" i="20"/>
  <c r="G1751" i="20"/>
  <c r="G1101" i="20"/>
  <c r="G1060" i="20"/>
  <c r="G1590" i="20"/>
  <c r="G490" i="20"/>
  <c r="G1212" i="20"/>
  <c r="G1664" i="20"/>
  <c r="G657" i="20"/>
  <c r="G1914" i="20"/>
  <c r="G1501" i="20"/>
  <c r="G1755" i="20"/>
  <c r="G1132" i="20"/>
  <c r="G1947" i="20"/>
  <c r="G838" i="20"/>
  <c r="G1993" i="20"/>
  <c r="G2015" i="20"/>
  <c r="G303" i="20"/>
  <c r="G197" i="20"/>
  <c r="G158" i="20"/>
  <c r="G1304" i="20"/>
  <c r="G1486" i="20"/>
  <c r="G1286" i="20"/>
  <c r="G1141" i="20"/>
  <c r="G1833" i="20"/>
  <c r="G129" i="20"/>
  <c r="G1184" i="20"/>
  <c r="G738" i="20"/>
  <c r="G1468" i="20"/>
  <c r="G1225" i="20"/>
  <c r="G514" i="20"/>
  <c r="G1687" i="20"/>
  <c r="G1870" i="20"/>
  <c r="G2036" i="20"/>
  <c r="G1561" i="20"/>
  <c r="G1839" i="20"/>
  <c r="G1672" i="20"/>
  <c r="G675" i="20"/>
  <c r="G2047" i="20"/>
  <c r="G486" i="20"/>
  <c r="G1002" i="20"/>
  <c r="G1220" i="20"/>
  <c r="G191" i="20"/>
  <c r="G1310" i="20"/>
  <c r="G425" i="20"/>
  <c r="G1481" i="20"/>
  <c r="G1946" i="20"/>
  <c r="G1551" i="20"/>
  <c r="G429" i="20"/>
  <c r="G146" i="20"/>
  <c r="G480" i="20"/>
  <c r="G594" i="20"/>
  <c r="G1660" i="20"/>
  <c r="G699" i="20"/>
  <c r="G1103" i="20"/>
  <c r="N1078" i="20" s="1"/>
  <c r="G1275" i="20"/>
  <c r="G243" i="20"/>
  <c r="G822" i="20"/>
  <c r="G1495" i="20"/>
  <c r="G1567" i="20"/>
  <c r="G1282" i="20"/>
  <c r="G1391" i="20"/>
  <c r="G575" i="20"/>
  <c r="G390" i="20"/>
  <c r="G1285" i="20"/>
  <c r="G1767" i="20"/>
  <c r="G301" i="20"/>
  <c r="G371" i="20"/>
  <c r="G391" i="20"/>
  <c r="G941" i="20"/>
  <c r="G1853" i="20"/>
  <c r="G929" i="20"/>
  <c r="G1011" i="20"/>
  <c r="G506" i="20"/>
  <c r="G1490" i="20"/>
  <c r="G1484" i="20"/>
  <c r="G1374" i="20"/>
  <c r="G1092" i="20"/>
  <c r="G1027" i="20"/>
  <c r="G416" i="20"/>
  <c r="G853" i="20"/>
  <c r="G411" i="20"/>
  <c r="G955" i="20"/>
  <c r="G1473" i="20"/>
  <c r="G1114" i="20"/>
  <c r="G1912" i="20"/>
  <c r="G2021" i="20"/>
  <c r="G334" i="20"/>
  <c r="G472" i="20"/>
  <c r="G1318" i="20"/>
  <c r="G1230" i="20"/>
  <c r="G1328" i="20"/>
  <c r="G1456" i="20"/>
  <c r="G751" i="20"/>
  <c r="G286" i="20"/>
  <c r="G1553" i="20"/>
  <c r="G401" i="20"/>
  <c r="G1902" i="20"/>
  <c r="G874" i="20"/>
  <c r="G1747" i="20"/>
  <c r="G315" i="20"/>
  <c r="G683" i="20"/>
  <c r="G1640" i="20"/>
  <c r="G1735" i="20"/>
  <c r="G142" i="20"/>
  <c r="G1139" i="20"/>
  <c r="G1869" i="20"/>
  <c r="G1467" i="20"/>
  <c r="G1192" i="20"/>
  <c r="G1452" i="20"/>
  <c r="G1857" i="20"/>
  <c r="G960" i="20"/>
  <c r="G426" i="20"/>
  <c r="G307" i="20"/>
  <c r="G1562" i="20"/>
  <c r="G1410" i="20"/>
  <c r="G119" i="20"/>
  <c r="G643" i="20"/>
  <c r="I132" i="13"/>
  <c r="J132" i="13" s="1"/>
  <c r="I121" i="13"/>
  <c r="J121" i="13" s="1"/>
  <c r="I100" i="13"/>
  <c r="I144" i="13"/>
  <c r="J144" i="13" s="1"/>
  <c r="I110" i="13"/>
  <c r="J110" i="13" s="1"/>
  <c r="I157" i="13"/>
  <c r="J157" i="13" s="1"/>
  <c r="I117" i="13"/>
  <c r="J117" i="13" s="1"/>
  <c r="I128" i="13"/>
  <c r="J128" i="13" s="1"/>
  <c r="I118" i="13"/>
  <c r="J118" i="13" s="1"/>
  <c r="I116" i="13"/>
  <c r="J116" i="13" s="1"/>
  <c r="I154" i="13"/>
  <c r="J154" i="13" s="1"/>
  <c r="I130" i="13"/>
  <c r="J130" i="13" s="1"/>
  <c r="I137" i="13"/>
  <c r="J137" i="13" s="1"/>
  <c r="I115" i="13"/>
  <c r="J115" i="13" s="1"/>
  <c r="I102" i="13"/>
  <c r="J102" i="13" s="1"/>
  <c r="I122" i="13"/>
  <c r="J122" i="13" s="1"/>
  <c r="I101" i="13"/>
  <c r="J101" i="13" s="1"/>
  <c r="I141" i="13"/>
  <c r="J141" i="13" s="1"/>
  <c r="I103" i="13"/>
  <c r="J103" i="13" s="1"/>
  <c r="I145" i="13"/>
  <c r="J145" i="13" s="1"/>
  <c r="I151" i="13"/>
  <c r="J151" i="13" s="1"/>
  <c r="I127" i="13"/>
  <c r="J127" i="13" s="1"/>
  <c r="I158" i="13"/>
  <c r="J158" i="13" s="1"/>
  <c r="I143" i="13"/>
  <c r="J143" i="13" s="1"/>
  <c r="I131" i="13"/>
  <c r="J131" i="13" s="1"/>
  <c r="I108" i="13"/>
  <c r="J108" i="13" s="1"/>
  <c r="I152" i="13"/>
  <c r="J152" i="13" s="1"/>
  <c r="I146" i="13"/>
  <c r="J146" i="13" s="1"/>
  <c r="I147" i="13"/>
  <c r="J147" i="13" s="1"/>
  <c r="I106" i="13"/>
  <c r="J106" i="13" s="1"/>
  <c r="I159" i="13"/>
  <c r="J159" i="13" s="1"/>
  <c r="I136" i="13"/>
  <c r="J136" i="13" s="1"/>
  <c r="I113" i="13"/>
  <c r="J113" i="13" s="1"/>
  <c r="I126" i="13"/>
  <c r="J126" i="13" s="1"/>
  <c r="I139" i="13"/>
  <c r="J139" i="13" s="1"/>
  <c r="I140" i="13"/>
  <c r="J140" i="13" s="1"/>
  <c r="I104" i="13"/>
  <c r="J104" i="13" s="1"/>
  <c r="I156" i="13"/>
  <c r="J156" i="13" s="1"/>
  <c r="I111" i="13"/>
  <c r="J111" i="13" s="1"/>
  <c r="I153" i="13"/>
  <c r="J153" i="13" s="1"/>
  <c r="I125" i="13"/>
  <c r="J125" i="13" s="1"/>
  <c r="I134" i="13"/>
  <c r="J134" i="13" s="1"/>
  <c r="I120" i="13"/>
  <c r="J120" i="13" s="1"/>
  <c r="I112" i="13"/>
  <c r="J112" i="13" s="1"/>
  <c r="I107" i="13"/>
  <c r="J107" i="13" s="1"/>
  <c r="I133" i="13"/>
  <c r="J133" i="13" s="1"/>
  <c r="I142" i="13"/>
  <c r="J142" i="13" s="1"/>
  <c r="I149" i="13"/>
  <c r="J149" i="13" s="1"/>
  <c r="I114" i="13"/>
  <c r="J114" i="13" s="1"/>
  <c r="I155" i="13"/>
  <c r="J155" i="13" s="1"/>
  <c r="I150" i="13"/>
  <c r="J150" i="13" s="1"/>
  <c r="I138" i="13"/>
  <c r="J138" i="13" s="1"/>
  <c r="I105" i="13"/>
  <c r="J105" i="13" s="1"/>
  <c r="I135" i="13"/>
  <c r="J135" i="13" s="1"/>
  <c r="I129" i="13"/>
  <c r="J129" i="13" s="1"/>
  <c r="I109" i="13"/>
  <c r="J109" i="13" s="1"/>
  <c r="I148" i="13"/>
  <c r="J148" i="13" s="1"/>
  <c r="I123" i="13"/>
  <c r="J123" i="13" s="1"/>
  <c r="I119" i="13"/>
  <c r="J119" i="13" s="1"/>
  <c r="I124" i="13"/>
  <c r="J124" i="13" s="1"/>
  <c r="G341" i="20" l="1"/>
  <c r="G971" i="20"/>
  <c r="G1961" i="20"/>
  <c r="G1331" i="20"/>
  <c r="G1601" i="20"/>
  <c r="G431" i="20"/>
  <c r="I160" i="13"/>
  <c r="J100" i="13"/>
  <c r="J160" i="13" s="1"/>
  <c r="G791" i="20"/>
  <c r="M26" i="20"/>
  <c r="G24" i="2" s="1"/>
  <c r="L24" i="2" s="1"/>
  <c r="G521" i="20"/>
  <c r="G2050" i="20"/>
  <c r="G1241" i="20"/>
  <c r="G1151" i="20"/>
  <c r="G1691" i="20"/>
  <c r="H1865" i="20"/>
  <c r="I1865" i="20" s="1"/>
  <c r="H408" i="20"/>
  <c r="I408" i="20" s="1"/>
  <c r="H1231" i="20"/>
  <c r="I1231" i="20" s="1"/>
  <c r="H295" i="20"/>
  <c r="I295" i="20" s="1"/>
  <c r="H692" i="20"/>
  <c r="I692" i="20" s="1"/>
  <c r="H762" i="20"/>
  <c r="I762" i="20" s="1"/>
  <c r="H234" i="20"/>
  <c r="I234" i="20" s="1"/>
  <c r="H664" i="20"/>
  <c r="I664" i="20" s="1"/>
  <c r="H1639" i="20"/>
  <c r="I1639" i="20" s="1"/>
  <c r="H1326" i="20"/>
  <c r="I1326" i="20" s="1"/>
  <c r="H392" i="20"/>
  <c r="I392" i="20" s="1"/>
  <c r="H337" i="20"/>
  <c r="I337" i="20" s="1"/>
  <c r="H495" i="20"/>
  <c r="I495" i="20" s="1"/>
  <c r="H965" i="20"/>
  <c r="I965" i="20" s="1"/>
  <c r="H126" i="20"/>
  <c r="I126" i="20" s="1"/>
  <c r="H221" i="20"/>
  <c r="I221" i="20" s="1"/>
  <c r="H934" i="20"/>
  <c r="I934" i="20" s="1"/>
  <c r="H1550" i="20"/>
  <c r="I1550" i="20" s="1"/>
  <c r="H1819" i="20"/>
  <c r="I1819" i="20" s="1"/>
  <c r="H208" i="20"/>
  <c r="I208" i="20" s="1"/>
  <c r="H1567" i="20"/>
  <c r="I1567" i="20" s="1"/>
  <c r="H589" i="20"/>
  <c r="I589" i="20" s="1"/>
  <c r="H1548" i="20"/>
  <c r="I1548" i="20" s="1"/>
  <c r="H868" i="20"/>
  <c r="I868" i="20" s="1"/>
  <c r="H1453" i="20"/>
  <c r="I1453" i="20" s="1"/>
  <c r="H1131" i="20"/>
  <c r="I1131" i="20" s="1"/>
  <c r="H948" i="20"/>
  <c r="I948" i="20" s="1"/>
  <c r="H1658" i="20"/>
  <c r="I1658" i="20" s="1"/>
  <c r="H476" i="20"/>
  <c r="I476" i="20" s="1"/>
  <c r="H1018" i="20"/>
  <c r="I1018" i="20" s="1"/>
  <c r="H151" i="20"/>
  <c r="I151" i="20" s="1"/>
  <c r="H1006" i="20"/>
  <c r="I1006" i="20" s="1"/>
  <c r="H1643" i="20"/>
  <c r="I1643" i="20" s="1"/>
  <c r="H653" i="20"/>
  <c r="I653" i="20" s="1"/>
  <c r="H2006" i="20"/>
  <c r="I2006" i="20" s="1"/>
  <c r="H933" i="20"/>
  <c r="I933" i="20" s="1"/>
  <c r="H1652" i="20"/>
  <c r="I1652" i="20" s="1"/>
  <c r="H1409" i="20"/>
  <c r="I1409" i="20" s="1"/>
  <c r="H1744" i="20"/>
  <c r="I1744" i="20" s="1"/>
  <c r="H683" i="20"/>
  <c r="I683" i="20" s="1"/>
  <c r="H1002" i="20"/>
  <c r="I1002" i="20" s="1"/>
  <c r="H1638" i="20"/>
  <c r="I1638" i="20" s="1"/>
  <c r="H1482" i="20"/>
  <c r="I1482" i="20" s="1"/>
  <c r="H333" i="20"/>
  <c r="I333" i="20" s="1"/>
  <c r="H389" i="20"/>
  <c r="I389" i="20" s="1"/>
  <c r="H217" i="20"/>
  <c r="I217" i="20" s="1"/>
  <c r="H245" i="20"/>
  <c r="I245" i="20" s="1"/>
  <c r="H1318" i="20"/>
  <c r="I1318" i="20" s="1"/>
  <c r="H1908" i="20"/>
  <c r="I1908" i="20" s="1"/>
  <c r="H289" i="20"/>
  <c r="I289" i="20" s="1"/>
  <c r="H1671" i="20"/>
  <c r="I1671" i="20" s="1"/>
  <c r="H1484" i="20"/>
  <c r="I1484" i="20" s="1"/>
  <c r="H1102" i="20"/>
  <c r="I1102" i="20" s="1"/>
  <c r="H1324" i="20"/>
  <c r="I1324" i="20" s="1"/>
  <c r="H674" i="20"/>
  <c r="I674" i="20" s="1"/>
  <c r="H418" i="20"/>
  <c r="I418" i="20" s="1"/>
  <c r="H1186" i="20"/>
  <c r="I1186" i="20" s="1"/>
  <c r="H1314" i="20"/>
  <c r="I1314" i="20" s="1"/>
  <c r="H1497" i="20"/>
  <c r="I1497" i="20" s="1"/>
  <c r="H426" i="20"/>
  <c r="I426" i="20" s="1"/>
  <c r="H1660" i="20"/>
  <c r="I1660" i="20" s="1"/>
  <c r="H1216" i="20"/>
  <c r="I1216" i="20" s="1"/>
  <c r="H499" i="20"/>
  <c r="I499" i="20" s="1"/>
  <c r="H1932" i="20"/>
  <c r="I1932" i="20" s="1"/>
  <c r="H515" i="20"/>
  <c r="I515" i="20" s="1"/>
  <c r="H241" i="20"/>
  <c r="I241" i="20" s="1"/>
  <c r="H1404" i="20"/>
  <c r="I1404" i="20" s="1"/>
  <c r="H1112" i="20"/>
  <c r="I1112" i="20" s="1"/>
  <c r="H1412" i="20"/>
  <c r="I1412" i="20" s="1"/>
  <c r="H1109" i="20"/>
  <c r="I1109" i="20" s="1"/>
  <c r="H682" i="20"/>
  <c r="I682" i="20" s="1"/>
  <c r="H2014" i="20"/>
  <c r="I2014" i="20" s="1"/>
  <c r="H1142" i="20"/>
  <c r="I1142" i="20" s="1"/>
  <c r="H1368" i="20"/>
  <c r="I1368" i="20" s="1"/>
  <c r="H197" i="20"/>
  <c r="I197" i="20" s="1"/>
  <c r="H558" i="20"/>
  <c r="I558" i="20" s="1"/>
  <c r="H1001" i="20"/>
  <c r="H1201" i="20"/>
  <c r="I1201" i="20" s="1"/>
  <c r="H1673" i="20"/>
  <c r="I1673" i="20" s="1"/>
  <c r="H1475" i="20"/>
  <c r="I1475" i="20" s="1"/>
  <c r="H475" i="20"/>
  <c r="I475" i="20" s="1"/>
  <c r="H1739" i="20"/>
  <c r="I1739" i="20" s="1"/>
  <c r="H1942" i="20"/>
  <c r="I1942" i="20" s="1"/>
  <c r="H200" i="20"/>
  <c r="I200" i="20" s="1"/>
  <c r="H113" i="20"/>
  <c r="I113" i="20" s="1"/>
  <c r="H1060" i="20"/>
  <c r="I1060" i="20" s="1"/>
  <c r="H517" i="20"/>
  <c r="I517" i="20" s="1"/>
  <c r="H1597" i="20"/>
  <c r="I1597" i="20" s="1"/>
  <c r="H1293" i="20"/>
  <c r="I1293" i="20" s="1"/>
  <c r="H1010" i="20"/>
  <c r="I1010" i="20" s="1"/>
  <c r="H1910" i="20"/>
  <c r="H1668" i="20"/>
  <c r="I1668" i="20" s="1"/>
  <c r="H1836" i="20"/>
  <c r="I1836" i="20" s="1"/>
  <c r="H160" i="20"/>
  <c r="I160" i="20" s="1"/>
  <c r="H1551" i="20"/>
  <c r="I1551" i="20" s="1"/>
  <c r="H1734" i="20"/>
  <c r="I1734" i="20" s="1"/>
  <c r="H763" i="20"/>
  <c r="I763" i="20" s="1"/>
  <c r="H1726" i="20"/>
  <c r="I1726" i="20" s="1"/>
  <c r="H1321" i="20"/>
  <c r="I1321" i="20" s="1"/>
  <c r="H1637" i="20"/>
  <c r="I1637" i="20" s="1"/>
  <c r="H1036" i="20"/>
  <c r="I1036" i="20" s="1"/>
  <c r="H565" i="20"/>
  <c r="I565" i="20" s="1"/>
  <c r="H877" i="20"/>
  <c r="I877" i="20" s="1"/>
  <c r="H921" i="20"/>
  <c r="I921" i="20" s="1"/>
  <c r="H1391" i="20"/>
  <c r="I1391" i="20" s="1"/>
  <c r="H771" i="20"/>
  <c r="I771" i="20" s="1"/>
  <c r="H1753" i="20"/>
  <c r="I1753" i="20" s="1"/>
  <c r="H138" i="20"/>
  <c r="I138" i="20" s="1"/>
  <c r="H1150" i="20"/>
  <c r="I1150" i="20" s="1"/>
  <c r="H1911" i="20"/>
  <c r="I1911" i="20" s="1"/>
  <c r="H464" i="20"/>
  <c r="I464" i="20" s="1"/>
  <c r="H744" i="20"/>
  <c r="I744" i="20" s="1"/>
  <c r="H1951" i="20"/>
  <c r="I1951" i="20" s="1"/>
  <c r="H1502" i="20"/>
  <c r="I1502" i="20" s="1"/>
  <c r="H1463" i="20"/>
  <c r="I1463" i="20" s="1"/>
  <c r="H1301" i="20"/>
  <c r="I1301" i="20" s="1"/>
  <c r="H1957" i="20"/>
  <c r="I1957" i="20" s="1"/>
  <c r="H1869" i="20"/>
  <c r="I1869" i="20" s="1"/>
  <c r="H127" i="20"/>
  <c r="I127" i="20" s="1"/>
  <c r="H1141" i="20"/>
  <c r="I1141" i="20" s="1"/>
  <c r="H463" i="20"/>
  <c r="I463" i="20" s="1"/>
  <c r="H678" i="20"/>
  <c r="I678" i="20" s="1"/>
  <c r="H377" i="20"/>
  <c r="I377" i="20" s="1"/>
  <c r="H2005" i="20"/>
  <c r="I2005" i="20" s="1"/>
  <c r="H403" i="20"/>
  <c r="I403" i="20" s="1"/>
  <c r="H1323" i="20"/>
  <c r="I1323" i="20" s="1"/>
  <c r="H1402" i="20"/>
  <c r="I1402" i="20" s="1"/>
  <c r="H283" i="20"/>
  <c r="I283" i="20" s="1"/>
  <c r="H1495" i="20"/>
  <c r="I1495" i="20" s="1"/>
  <c r="H487" i="20"/>
  <c r="I487" i="20" s="1"/>
  <c r="H562" i="20"/>
  <c r="I562" i="20" s="1"/>
  <c r="H196" i="20"/>
  <c r="I196" i="20" s="1"/>
  <c r="H1392" i="20"/>
  <c r="I1392" i="20" s="1"/>
  <c r="H1395" i="20"/>
  <c r="I1395" i="20" s="1"/>
  <c r="H735" i="20"/>
  <c r="I735" i="20" s="1"/>
  <c r="H857" i="20"/>
  <c r="I857" i="20" s="1"/>
  <c r="H1415" i="20"/>
  <c r="I1415" i="20" s="1"/>
  <c r="H773" i="20"/>
  <c r="I773" i="20" s="1"/>
  <c r="H1825" i="20"/>
  <c r="I1825" i="20" s="1"/>
  <c r="H312" i="20"/>
  <c r="I312" i="20" s="1"/>
  <c r="H2033" i="20"/>
  <c r="I2033" i="20" s="1"/>
  <c r="H1387" i="20"/>
  <c r="I1387" i="20" s="1"/>
  <c r="H292" i="20"/>
  <c r="I292" i="20" s="1"/>
  <c r="H2009" i="20"/>
  <c r="I2009" i="20" s="1"/>
  <c r="H1304" i="20"/>
  <c r="I1304" i="20" s="1"/>
  <c r="H1566" i="20"/>
  <c r="I1566" i="20" s="1"/>
  <c r="H784" i="20"/>
  <c r="I784" i="20" s="1"/>
  <c r="H510" i="20"/>
  <c r="I510" i="20" s="1"/>
  <c r="H1303" i="20"/>
  <c r="I1303" i="20" s="1"/>
  <c r="H581" i="20"/>
  <c r="I581" i="20" s="1"/>
  <c r="H1946" i="20"/>
  <c r="I1946" i="20" s="1"/>
  <c r="H1574" i="20"/>
  <c r="I1574" i="20" s="1"/>
  <c r="H1815" i="20"/>
  <c r="I1815" i="20" s="1"/>
  <c r="H1123" i="20"/>
  <c r="I1123" i="20" s="1"/>
  <c r="H597" i="20"/>
  <c r="I597" i="20" s="1"/>
  <c r="H1863" i="20"/>
  <c r="I1863" i="20" s="1"/>
  <c r="H695" i="20"/>
  <c r="I695" i="20" s="1"/>
  <c r="H827" i="20"/>
  <c r="I827" i="20" s="1"/>
  <c r="H1646" i="20"/>
  <c r="I1646" i="20" s="1"/>
  <c r="H850" i="20"/>
  <c r="I850" i="20" s="1"/>
  <c r="H1590" i="20"/>
  <c r="I1590" i="20" s="1"/>
  <c r="H656" i="20"/>
  <c r="I656" i="20" s="1"/>
  <c r="H1826" i="20"/>
  <c r="I1826" i="20" s="1"/>
  <c r="H429" i="20"/>
  <c r="I429" i="20" s="1"/>
  <c r="H1126" i="20"/>
  <c r="I1126" i="20" s="1"/>
  <c r="H841" i="20"/>
  <c r="I841" i="20" s="1"/>
  <c r="H384" i="20"/>
  <c r="H1232" i="20"/>
  <c r="I1232" i="20" s="1"/>
  <c r="H856" i="20"/>
  <c r="I856" i="20" s="1"/>
  <c r="H1933" i="20"/>
  <c r="I1933" i="20" s="1"/>
  <c r="H1741" i="20"/>
  <c r="I1741" i="20" s="1"/>
  <c r="H1228" i="20"/>
  <c r="I1228" i="20" s="1"/>
  <c r="H1236" i="20"/>
  <c r="I1236" i="20" s="1"/>
  <c r="H1185" i="20"/>
  <c r="I1185" i="20" s="1"/>
  <c r="H1901" i="20"/>
  <c r="H1927" i="20"/>
  <c r="I1927" i="20" s="1"/>
  <c r="H1827" i="20"/>
  <c r="I1827" i="20" s="1"/>
  <c r="H835" i="20"/>
  <c r="I835" i="20" s="1"/>
  <c r="H871" i="20"/>
  <c r="I871" i="20" s="1"/>
  <c r="H826" i="20"/>
  <c r="I826" i="20" s="1"/>
  <c r="H1138" i="20"/>
  <c r="I1138" i="20" s="1"/>
  <c r="H1727" i="20"/>
  <c r="I1727" i="20" s="1"/>
  <c r="H603" i="20"/>
  <c r="I603" i="20" s="1"/>
  <c r="H932" i="20"/>
  <c r="I932" i="20" s="1"/>
  <c r="H1184" i="20"/>
  <c r="I1184" i="20" s="1"/>
  <c r="H851" i="20"/>
  <c r="I851" i="20" s="1"/>
  <c r="H1319" i="20"/>
  <c r="I1319" i="20" s="1"/>
  <c r="H1276" i="20"/>
  <c r="I1276" i="20" s="1"/>
  <c r="H1454" i="20"/>
  <c r="I1454" i="20" s="1"/>
  <c r="H1287" i="20"/>
  <c r="I1287" i="20" s="1"/>
  <c r="H776" i="20"/>
  <c r="I776" i="20" s="1"/>
  <c r="H158" i="20"/>
  <c r="I158" i="20" s="1"/>
  <c r="H139" i="20"/>
  <c r="I139" i="20" s="1"/>
  <c r="H1273" i="20"/>
  <c r="I1273" i="20" s="1"/>
  <c r="H1948" i="20"/>
  <c r="I1948" i="20" s="1"/>
  <c r="H957" i="20"/>
  <c r="I957" i="20" s="1"/>
  <c r="H501" i="20"/>
  <c r="I501" i="20" s="1"/>
  <c r="H224" i="20"/>
  <c r="I224" i="20" s="1"/>
  <c r="H1374" i="20"/>
  <c r="I1374" i="20" s="1"/>
  <c r="H223" i="20"/>
  <c r="I223" i="20" s="1"/>
  <c r="H1042" i="20"/>
  <c r="I1042" i="20" s="1"/>
  <c r="H1870" i="20"/>
  <c r="I1870" i="20" s="1"/>
  <c r="H1292" i="20"/>
  <c r="I1292" i="20" s="1"/>
  <c r="H1657" i="20"/>
  <c r="I1657" i="20" s="1"/>
  <c r="H1913" i="20"/>
  <c r="I1913" i="20" s="1"/>
  <c r="H667" i="20"/>
  <c r="I667" i="20" s="1"/>
  <c r="H306" i="20"/>
  <c r="I306" i="20" s="1"/>
  <c r="H502" i="20"/>
  <c r="I502" i="20" s="1"/>
  <c r="H141" i="20"/>
  <c r="I141" i="20" s="1"/>
  <c r="H326" i="20"/>
  <c r="I326" i="20" s="1"/>
  <c r="H2032" i="20"/>
  <c r="I2032" i="20" s="1"/>
  <c r="H108" i="20"/>
  <c r="I108" i="20" s="1"/>
  <c r="H963" i="20"/>
  <c r="I963" i="20" s="1"/>
  <c r="H1743" i="20"/>
  <c r="I1743" i="20" s="1"/>
  <c r="H942" i="20"/>
  <c r="I942" i="20" s="1"/>
  <c r="H1451" i="20"/>
  <c r="H842" i="20"/>
  <c r="I842" i="20" s="1"/>
  <c r="H1945" i="20"/>
  <c r="I1945" i="20" s="1"/>
  <c r="H1139" i="20"/>
  <c r="I1139" i="20" s="1"/>
  <c r="H281" i="20"/>
  <c r="H1824" i="20"/>
  <c r="I1824" i="20" s="1"/>
  <c r="H1828" i="20"/>
  <c r="I1828" i="20" s="1"/>
  <c r="H847" i="20"/>
  <c r="I847" i="20" s="1"/>
  <c r="H1770" i="20"/>
  <c r="I1770" i="20" s="1"/>
  <c r="H1958" i="20"/>
  <c r="I1958" i="20" s="1"/>
  <c r="H1311" i="20"/>
  <c r="I1311" i="20" s="1"/>
  <c r="H301" i="20"/>
  <c r="I301" i="20" s="1"/>
  <c r="H1654" i="20"/>
  <c r="I1654" i="20" s="1"/>
  <c r="H103" i="20"/>
  <c r="I103" i="20" s="1"/>
  <c r="H1212" i="20"/>
  <c r="I1212" i="20" s="1"/>
  <c r="H738" i="20"/>
  <c r="I738" i="20" s="1"/>
  <c r="H419" i="20"/>
  <c r="I419" i="20" s="1"/>
  <c r="H386" i="20"/>
  <c r="I386" i="20" s="1"/>
  <c r="H1046" i="20"/>
  <c r="I1046" i="20" s="1"/>
  <c r="H1956" i="20"/>
  <c r="I1956" i="20" s="1"/>
  <c r="H1033" i="20"/>
  <c r="I1033" i="20" s="1"/>
  <c r="H1372" i="20"/>
  <c r="H1670" i="20"/>
  <c r="I1670" i="20" s="1"/>
  <c r="H1650" i="20"/>
  <c r="I1650" i="20" s="1"/>
  <c r="H106" i="20"/>
  <c r="I106" i="20" s="1"/>
  <c r="H553" i="20"/>
  <c r="I553" i="20" s="1"/>
  <c r="H1384" i="20"/>
  <c r="I1384" i="20" s="1"/>
  <c r="H1382" i="20"/>
  <c r="I1382" i="20" s="1"/>
  <c r="H410" i="20"/>
  <c r="I410" i="20" s="1"/>
  <c r="H1029" i="20"/>
  <c r="I1029" i="20" s="1"/>
  <c r="H1861" i="20"/>
  <c r="I1861" i="20" s="1"/>
  <c r="H1665" i="20"/>
  <c r="I1665" i="20" s="1"/>
  <c r="H923" i="20"/>
  <c r="H1317" i="20"/>
  <c r="I1317" i="20" s="1"/>
  <c r="H497" i="20"/>
  <c r="I497" i="20" s="1"/>
  <c r="H596" i="20"/>
  <c r="I596" i="20" s="1"/>
  <c r="H777" i="20"/>
  <c r="I777" i="20" s="1"/>
  <c r="H1026" i="20"/>
  <c r="I1026" i="20" s="1"/>
  <c r="H1688" i="20"/>
  <c r="I1688" i="20" s="1"/>
  <c r="H1955" i="20"/>
  <c r="I1955" i="20" s="1"/>
  <c r="H233" i="20"/>
  <c r="I233" i="20" s="1"/>
  <c r="H591" i="20"/>
  <c r="I591" i="20" s="1"/>
  <c r="H858" i="20"/>
  <c r="I858" i="20" s="1"/>
  <c r="H227" i="20"/>
  <c r="I227" i="20" s="1"/>
  <c r="H1943" i="20"/>
  <c r="I1943" i="20" s="1"/>
  <c r="H1759" i="20"/>
  <c r="I1759" i="20" s="1"/>
  <c r="H1114" i="20"/>
  <c r="I1114" i="20" s="1"/>
  <c r="H1204" i="20"/>
  <c r="I1204" i="20" s="1"/>
  <c r="H192" i="20"/>
  <c r="I192" i="20" s="1"/>
  <c r="H672" i="20"/>
  <c r="I672" i="20" s="1"/>
  <c r="H491" i="20"/>
  <c r="I491" i="20" s="1"/>
  <c r="H1754" i="20"/>
  <c r="I1754" i="20" s="1"/>
  <c r="H940" i="20"/>
  <c r="I940" i="20" s="1"/>
  <c r="H482" i="20"/>
  <c r="I482" i="20" s="1"/>
  <c r="H966" i="20"/>
  <c r="I966" i="20" s="1"/>
  <c r="H1662" i="20"/>
  <c r="I1662" i="20" s="1"/>
  <c r="H1846" i="20"/>
  <c r="I1846" i="20" s="1"/>
  <c r="H941" i="20"/>
  <c r="I941" i="20" s="1"/>
  <c r="H1725" i="20"/>
  <c r="I1725" i="20" s="1"/>
  <c r="H696" i="20"/>
  <c r="I696" i="20" s="1"/>
  <c r="H740" i="20"/>
  <c r="I740" i="20" s="1"/>
  <c r="H1110" i="20"/>
  <c r="I1110" i="20" s="1"/>
  <c r="H405" i="20"/>
  <c r="I405" i="20" s="1"/>
  <c r="H1843" i="20"/>
  <c r="I1843" i="20" s="1"/>
  <c r="H1093" i="20"/>
  <c r="I1093" i="20" s="1"/>
  <c r="H232" i="20"/>
  <c r="I232" i="20" s="1"/>
  <c r="H1902" i="20"/>
  <c r="I1902" i="20" s="1"/>
  <c r="H111" i="20"/>
  <c r="I111" i="20" s="1"/>
  <c r="H837" i="20"/>
  <c r="I837" i="20" s="1"/>
  <c r="H1491" i="20"/>
  <c r="I1491" i="20" s="1"/>
  <c r="H1937" i="20"/>
  <c r="I1937" i="20" s="1"/>
  <c r="H1854" i="20"/>
  <c r="I1854" i="20" s="1"/>
  <c r="H577" i="20"/>
  <c r="I577" i="20" s="1"/>
  <c r="H1659" i="20"/>
  <c r="I1659" i="20" s="1"/>
  <c r="H1735" i="20"/>
  <c r="I1735" i="20" s="1"/>
  <c r="H1554" i="20"/>
  <c r="I1554" i="20" s="1"/>
  <c r="H1182" i="20"/>
  <c r="I1182" i="20" s="1"/>
  <c r="H308" i="20"/>
  <c r="I308" i="20" s="1"/>
  <c r="H563" i="20"/>
  <c r="I563" i="20" s="1"/>
  <c r="H194" i="20"/>
  <c r="I194" i="20" s="1"/>
  <c r="H1690" i="20"/>
  <c r="I1690" i="20" s="1"/>
  <c r="H1021" i="20"/>
  <c r="I1021" i="20" s="1"/>
  <c r="H1736" i="20"/>
  <c r="I1736" i="20" s="1"/>
  <c r="H1281" i="20"/>
  <c r="H739" i="20"/>
  <c r="I739" i="20" s="1"/>
  <c r="H473" i="20"/>
  <c r="I473" i="20" s="1"/>
  <c r="H1129" i="20"/>
  <c r="I1129" i="20" s="1"/>
  <c r="H774" i="20"/>
  <c r="I774" i="20" s="1"/>
  <c r="H869" i="20"/>
  <c r="I869" i="20" s="1"/>
  <c r="H1116" i="20"/>
  <c r="I1116" i="20" s="1"/>
  <c r="H155" i="20"/>
  <c r="I155" i="20" s="1"/>
  <c r="H766" i="20"/>
  <c r="I766" i="20" s="1"/>
  <c r="H928" i="20"/>
  <c r="I928" i="20" s="1"/>
  <c r="H1477" i="20"/>
  <c r="I1477" i="20" s="1"/>
  <c r="H968" i="20"/>
  <c r="I968" i="20" s="1"/>
  <c r="H1147" i="20"/>
  <c r="I1147" i="20" s="1"/>
  <c r="H737" i="20"/>
  <c r="I737" i="20" s="1"/>
  <c r="H700" i="20"/>
  <c r="I700" i="20" s="1"/>
  <c r="H154" i="20"/>
  <c r="I154" i="20" s="1"/>
  <c r="H1909" i="20"/>
  <c r="I1909" i="20" s="1"/>
  <c r="H789" i="20"/>
  <c r="I789" i="20" s="1"/>
  <c r="H125" i="20"/>
  <c r="I125" i="20" s="1"/>
  <c r="H1755" i="20"/>
  <c r="I1755" i="20" s="1"/>
  <c r="H765" i="20"/>
  <c r="I765" i="20" s="1"/>
  <c r="H1397" i="20"/>
  <c r="I1397" i="20" s="1"/>
  <c r="H1903" i="20"/>
  <c r="I1903" i="20" s="1"/>
  <c r="H1048" i="20"/>
  <c r="I1048" i="20" s="1"/>
  <c r="H1830" i="20"/>
  <c r="I1830" i="20" s="1"/>
  <c r="H520" i="20"/>
  <c r="I520" i="20" s="1"/>
  <c r="H592" i="20"/>
  <c r="I592" i="20" s="1"/>
  <c r="H1007" i="20"/>
  <c r="I1007" i="20" s="1"/>
  <c r="H699" i="20"/>
  <c r="I699" i="20" s="1"/>
  <c r="H753" i="20"/>
  <c r="I753" i="20" s="1"/>
  <c r="H579" i="20"/>
  <c r="I579" i="20" s="1"/>
  <c r="H1394" i="20"/>
  <c r="I1394" i="20" s="1"/>
  <c r="H244" i="20"/>
  <c r="I244" i="20" s="1"/>
  <c r="H1005" i="20"/>
  <c r="I1005" i="20" s="1"/>
  <c r="H1840" i="20"/>
  <c r="I1840" i="20" s="1"/>
  <c r="H414" i="20"/>
  <c r="I414" i="20" s="1"/>
  <c r="H1209" i="20"/>
  <c r="I1209" i="20" s="1"/>
  <c r="H228" i="20"/>
  <c r="I228" i="20" s="1"/>
  <c r="H1137" i="20"/>
  <c r="I1137" i="20" s="1"/>
  <c r="H331" i="20"/>
  <c r="I331" i="20" s="1"/>
  <c r="H731" i="20"/>
  <c r="H1240" i="20"/>
  <c r="I1240" i="20" s="1"/>
  <c r="H1555" i="20"/>
  <c r="I1555" i="20" s="1"/>
  <c r="H1057" i="20"/>
  <c r="I1057" i="20" s="1"/>
  <c r="H1742" i="20"/>
  <c r="I1742" i="20" s="1"/>
  <c r="H1651" i="20"/>
  <c r="I1651" i="20" s="1"/>
  <c r="H754" i="20"/>
  <c r="I754" i="20" s="1"/>
  <c r="H1997" i="20"/>
  <c r="H1399" i="20"/>
  <c r="I1399" i="20" s="1"/>
  <c r="H137" i="20"/>
  <c r="I137" i="20" s="1"/>
  <c r="H1127" i="20"/>
  <c r="I1127" i="20" s="1"/>
  <c r="H1812" i="20"/>
  <c r="I1812" i="20" s="1"/>
  <c r="H929" i="20"/>
  <c r="I929" i="20" s="1"/>
  <c r="H790" i="20"/>
  <c r="I790" i="20" s="1"/>
  <c r="H1556" i="20"/>
  <c r="I1556" i="20" s="1"/>
  <c r="H1494" i="20"/>
  <c r="I1494" i="20" s="1"/>
  <c r="H287" i="20"/>
  <c r="I287" i="20" s="1"/>
  <c r="H684" i="20"/>
  <c r="I684" i="20" s="1"/>
  <c r="H1559" i="20"/>
  <c r="I1559" i="20" s="1"/>
  <c r="H219" i="20"/>
  <c r="I219" i="20" s="1"/>
  <c r="H1817" i="20"/>
  <c r="I1817" i="20" s="1"/>
  <c r="H876" i="20"/>
  <c r="I876" i="20" s="1"/>
  <c r="H296" i="20"/>
  <c r="I296" i="20" s="1"/>
  <c r="H1107" i="20"/>
  <c r="I1107" i="20" s="1"/>
  <c r="H1674" i="20"/>
  <c r="I1674" i="20" s="1"/>
  <c r="H417" i="20"/>
  <c r="I417" i="20" s="1"/>
  <c r="H576" i="20"/>
  <c r="I576" i="20" s="1"/>
  <c r="H2046" i="20"/>
  <c r="I2046" i="20" s="1"/>
  <c r="H560" i="20"/>
  <c r="I560" i="20" s="1"/>
  <c r="H1647" i="20"/>
  <c r="I1647" i="20" s="1"/>
  <c r="H778" i="20"/>
  <c r="I778" i="20" s="1"/>
  <c r="H878" i="20"/>
  <c r="I878" i="20" s="1"/>
  <c r="H1842" i="20"/>
  <c r="I1842" i="20" s="1"/>
  <c r="H149" i="20"/>
  <c r="I149" i="20" s="1"/>
  <c r="H644" i="20"/>
  <c r="I644" i="20" s="1"/>
  <c r="H772" i="20"/>
  <c r="I772" i="20" s="1"/>
  <c r="H1227" i="20"/>
  <c r="I1227" i="20" s="1"/>
  <c r="H666" i="20"/>
  <c r="I666" i="20" s="1"/>
  <c r="H1226" i="20"/>
  <c r="I1226" i="20" s="1"/>
  <c r="H1490" i="20"/>
  <c r="I1490" i="20" s="1"/>
  <c r="H1633" i="20"/>
  <c r="I1633" i="20" s="1"/>
  <c r="H1416" i="20"/>
  <c r="I1416" i="20" s="1"/>
  <c r="H1558" i="20"/>
  <c r="I1558" i="20" s="1"/>
  <c r="H1325" i="20"/>
  <c r="I1325" i="20" s="1"/>
  <c r="H1867" i="20"/>
  <c r="I1867" i="20" s="1"/>
  <c r="H608" i="20"/>
  <c r="I608" i="20" s="1"/>
  <c r="H1592" i="20"/>
  <c r="I1592" i="20" s="1"/>
  <c r="H1779" i="20"/>
  <c r="I1779" i="20" s="1"/>
  <c r="H2040" i="20"/>
  <c r="I2040" i="20" s="1"/>
  <c r="H191" i="20"/>
  <c r="H387" i="20"/>
  <c r="I387" i="20" s="1"/>
  <c r="H1676" i="20"/>
  <c r="I1676" i="20" s="1"/>
  <c r="H821" i="20"/>
  <c r="H610" i="20"/>
  <c r="I610" i="20" s="1"/>
  <c r="H1234" i="20"/>
  <c r="I1234" i="20" s="1"/>
  <c r="H1498" i="20"/>
  <c r="I1498" i="20" s="1"/>
  <c r="H1546" i="20"/>
  <c r="I1546" i="20" s="1"/>
  <c r="H1640" i="20"/>
  <c r="I1640" i="20" s="1"/>
  <c r="H338" i="20"/>
  <c r="I338" i="20" s="1"/>
  <c r="H2039" i="20"/>
  <c r="I2039" i="20" s="1"/>
  <c r="H2049" i="20"/>
  <c r="I2049" i="20" s="1"/>
  <c r="H1207" i="20"/>
  <c r="I1207" i="20" s="1"/>
  <c r="H688" i="20"/>
  <c r="I688" i="20" s="1"/>
  <c r="H781" i="20"/>
  <c r="I781" i="20" s="1"/>
  <c r="H317" i="20"/>
  <c r="I317" i="20" s="1"/>
  <c r="H1316" i="20"/>
  <c r="I1316" i="20" s="1"/>
  <c r="H783" i="20"/>
  <c r="I783" i="20" s="1"/>
  <c r="H114" i="20"/>
  <c r="I114" i="20" s="1"/>
  <c r="H1746" i="20"/>
  <c r="I1746" i="20" s="1"/>
  <c r="H1553" i="20"/>
  <c r="I1553" i="20" s="1"/>
  <c r="H912" i="20"/>
  <c r="I912" i="20" s="1"/>
  <c r="H757" i="20"/>
  <c r="I757" i="20" s="1"/>
  <c r="H1305" i="20"/>
  <c r="I1305" i="20" s="1"/>
  <c r="H1410" i="20"/>
  <c r="I1410" i="20" s="1"/>
  <c r="H1758" i="20"/>
  <c r="I1758" i="20" s="1"/>
  <c r="H421" i="20"/>
  <c r="I421" i="20" s="1"/>
  <c r="H690" i="20"/>
  <c r="I690" i="20" s="1"/>
  <c r="H2045" i="20"/>
  <c r="I2045" i="20" s="1"/>
  <c r="H402" i="20"/>
  <c r="I402" i="20" s="1"/>
  <c r="H961" i="20"/>
  <c r="I961" i="20" s="1"/>
  <c r="H1418" i="20"/>
  <c r="I1418" i="20" s="1"/>
  <c r="H1855" i="20"/>
  <c r="I1855" i="20" s="1"/>
  <c r="H1134" i="20"/>
  <c r="I1134" i="20" s="1"/>
  <c r="H415" i="20"/>
  <c r="I415" i="20" s="1"/>
  <c r="H243" i="20"/>
  <c r="I243" i="20" s="1"/>
  <c r="H422" i="20"/>
  <c r="I422" i="20" s="1"/>
  <c r="H2026" i="20"/>
  <c r="I2026" i="20" s="1"/>
  <c r="H1054" i="20"/>
  <c r="I1054" i="20" s="1"/>
  <c r="H226" i="20"/>
  <c r="I226" i="20" s="1"/>
  <c r="H1990" i="20"/>
  <c r="H1642" i="20"/>
  <c r="H1845" i="20"/>
  <c r="I1845" i="20" s="1"/>
  <c r="H204" i="20"/>
  <c r="I204" i="20" s="1"/>
  <c r="H1634" i="20"/>
  <c r="I1634" i="20" s="1"/>
  <c r="H1835" i="20"/>
  <c r="I1835" i="20" s="1"/>
  <c r="H1466" i="20"/>
  <c r="I1466" i="20" s="1"/>
  <c r="H1471" i="20"/>
  <c r="I1471" i="20" s="1"/>
  <c r="H1939" i="20"/>
  <c r="I1939" i="20" s="1"/>
  <c r="H1130" i="20"/>
  <c r="I1130" i="20" s="1"/>
  <c r="H423" i="20"/>
  <c r="I423" i="20" s="1"/>
  <c r="H1493" i="20"/>
  <c r="I1493" i="20" s="1"/>
  <c r="H133" i="20"/>
  <c r="I133" i="20" s="1"/>
  <c r="H922" i="20"/>
  <c r="I922" i="20" s="1"/>
  <c r="H1473" i="20"/>
  <c r="I1473" i="20" s="1"/>
  <c r="H237" i="20"/>
  <c r="I237" i="20" s="1"/>
  <c r="H1682" i="20"/>
  <c r="I1682" i="20" s="1"/>
  <c r="H1290" i="20"/>
  <c r="I1290" i="20" s="1"/>
  <c r="H105" i="20"/>
  <c r="I105" i="20" s="1"/>
  <c r="H698" i="20"/>
  <c r="I698" i="20" s="1"/>
  <c r="H298" i="20"/>
  <c r="I298" i="20" s="1"/>
  <c r="H150" i="20"/>
  <c r="I150" i="20" s="1"/>
  <c r="H2029" i="20"/>
  <c r="I2029" i="20" s="1"/>
  <c r="H116" i="20"/>
  <c r="I116" i="20" s="1"/>
  <c r="H924" i="20"/>
  <c r="I924" i="20" s="1"/>
  <c r="H321" i="20"/>
  <c r="I321" i="20" s="1"/>
  <c r="H1991" i="20"/>
  <c r="I1991" i="20" s="1"/>
  <c r="H286" i="20"/>
  <c r="I286" i="20" s="1"/>
  <c r="H159" i="20"/>
  <c r="I159" i="20" s="1"/>
  <c r="H1238" i="20"/>
  <c r="I1238" i="20" s="1"/>
  <c r="H1822" i="20"/>
  <c r="H1675" i="20"/>
  <c r="I1675" i="20" s="1"/>
  <c r="H325" i="20"/>
  <c r="I325" i="20" s="1"/>
  <c r="H503" i="20"/>
  <c r="I503" i="20" s="1"/>
  <c r="H1003" i="20"/>
  <c r="I1003" i="20" s="1"/>
  <c r="H336" i="20"/>
  <c r="I336" i="20" s="1"/>
  <c r="H1582" i="20"/>
  <c r="I1582" i="20" s="1"/>
  <c r="H742" i="20"/>
  <c r="I742" i="20" s="1"/>
  <c r="H866" i="20"/>
  <c r="I866" i="20" s="1"/>
  <c r="H504" i="20"/>
  <c r="I504" i="20" s="1"/>
  <c r="H2022" i="20"/>
  <c r="I2022" i="20" s="1"/>
  <c r="H768" i="20"/>
  <c r="I768" i="20" s="1"/>
  <c r="H1014" i="20"/>
  <c r="H665" i="20"/>
  <c r="I665" i="20" s="1"/>
  <c r="H1280" i="20"/>
  <c r="I1280" i="20" s="1"/>
  <c r="H1928" i="20"/>
  <c r="I1928" i="20" s="1"/>
  <c r="H373" i="20"/>
  <c r="I373" i="20" s="1"/>
  <c r="H519" i="20"/>
  <c r="I519" i="20" s="1"/>
  <c r="H1211" i="20"/>
  <c r="I1211" i="20" s="1"/>
  <c r="H1403" i="20"/>
  <c r="I1403" i="20" s="1"/>
  <c r="H2036" i="20"/>
  <c r="I2036" i="20" s="1"/>
  <c r="H1489" i="20"/>
  <c r="I1489" i="20" s="1"/>
  <c r="H1500" i="20"/>
  <c r="I1500" i="20" s="1"/>
  <c r="H1821" i="20"/>
  <c r="I1821" i="20" s="1"/>
  <c r="H1214" i="20"/>
  <c r="I1214" i="20" s="1"/>
  <c r="H1816" i="20"/>
  <c r="I1816" i="20" s="1"/>
  <c r="H1315" i="20"/>
  <c r="I1315" i="20" s="1"/>
  <c r="H1381" i="20"/>
  <c r="I1381" i="20" s="1"/>
  <c r="H734" i="20"/>
  <c r="I734" i="20" s="1"/>
  <c r="H938" i="20"/>
  <c r="I938" i="20" s="1"/>
  <c r="H2017" i="20"/>
  <c r="I2017" i="20" s="1"/>
  <c r="H2044" i="20"/>
  <c r="I2044" i="20" s="1"/>
  <c r="H1191" i="20"/>
  <c r="I1191" i="20" s="1"/>
  <c r="H1020" i="20"/>
  <c r="I1020" i="20" s="1"/>
  <c r="H1313" i="20"/>
  <c r="I1313" i="20" s="1"/>
  <c r="H1544" i="20"/>
  <c r="I1544" i="20" s="1"/>
  <c r="H1578" i="20"/>
  <c r="I1578" i="20" s="1"/>
  <c r="H1198" i="20"/>
  <c r="I1198" i="20" s="1"/>
  <c r="H1379" i="20"/>
  <c r="I1379" i="20" s="1"/>
  <c r="H1225" i="20"/>
  <c r="I1225" i="20" s="1"/>
  <c r="H1545" i="20"/>
  <c r="I1545" i="20" s="1"/>
  <c r="H1405" i="20"/>
  <c r="I1405" i="20" s="1"/>
  <c r="H1760" i="20"/>
  <c r="I1760" i="20" s="1"/>
  <c r="H379" i="20"/>
  <c r="I379" i="20" s="1"/>
  <c r="H595" i="20"/>
  <c r="I595" i="20" s="1"/>
  <c r="H1866" i="20"/>
  <c r="I1866" i="20" s="1"/>
  <c r="H242" i="20"/>
  <c r="I242" i="20" s="1"/>
  <c r="H650" i="20"/>
  <c r="I650" i="20" s="1"/>
  <c r="H1722" i="20"/>
  <c r="I1722" i="20" s="1"/>
  <c r="H300" i="20"/>
  <c r="I300" i="20" s="1"/>
  <c r="H1478" i="20"/>
  <c r="I1478" i="20" s="1"/>
  <c r="H967" i="20"/>
  <c r="I967" i="20" s="1"/>
  <c r="H1917" i="20"/>
  <c r="I1917" i="20" s="1"/>
  <c r="H199" i="20"/>
  <c r="I199" i="20" s="1"/>
  <c r="H1457" i="20"/>
  <c r="I1457" i="20" s="1"/>
  <c r="H202" i="20"/>
  <c r="I202" i="20" s="1"/>
  <c r="H110" i="20"/>
  <c r="I110" i="20" s="1"/>
  <c r="H215" i="20"/>
  <c r="I215" i="20" s="1"/>
  <c r="H568" i="20"/>
  <c r="I568" i="20" s="1"/>
  <c r="H839" i="20"/>
  <c r="I839" i="20" s="1"/>
  <c r="H1848" i="20"/>
  <c r="I1848" i="20" s="1"/>
  <c r="H1577" i="20"/>
  <c r="I1577" i="20" s="1"/>
  <c r="H1920" i="20"/>
  <c r="I1920" i="20" s="1"/>
  <c r="H1118" i="20"/>
  <c r="I1118" i="20" s="1"/>
  <c r="H606" i="20"/>
  <c r="I606" i="20" s="1"/>
  <c r="H733" i="20"/>
  <c r="I733" i="20" s="1"/>
  <c r="H324" i="20"/>
  <c r="I324" i="20" s="1"/>
  <c r="H752" i="20"/>
  <c r="I752" i="20" s="1"/>
  <c r="H1119" i="20"/>
  <c r="I1119" i="20" s="1"/>
  <c r="H101" i="20"/>
  <c r="H1681" i="20"/>
  <c r="I1681" i="20" s="1"/>
  <c r="H152" i="20"/>
  <c r="I152" i="20" s="1"/>
  <c r="H291" i="20"/>
  <c r="I291" i="20" s="1"/>
  <c r="H935" i="20"/>
  <c r="I935" i="20" s="1"/>
  <c r="H401" i="20"/>
  <c r="I401" i="20" s="1"/>
  <c r="H759" i="20"/>
  <c r="I759" i="20" s="1"/>
  <c r="H393" i="20"/>
  <c r="I393" i="20" s="1"/>
  <c r="H1330" i="20"/>
  <c r="I1330" i="20" s="1"/>
  <c r="H2015" i="20"/>
  <c r="I2015" i="20" s="1"/>
  <c r="H1747" i="20"/>
  <c r="I1747" i="20" s="1"/>
  <c r="H649" i="20"/>
  <c r="I649" i="20" s="1"/>
  <c r="H284" i="20"/>
  <c r="I284" i="20" s="1"/>
  <c r="H2023" i="20"/>
  <c r="I2023" i="20" s="1"/>
  <c r="H1599" i="20"/>
  <c r="I1599" i="20" s="1"/>
  <c r="H787" i="20"/>
  <c r="I787" i="20" s="1"/>
  <c r="H1296" i="20"/>
  <c r="I1296" i="20" s="1"/>
  <c r="H575" i="20"/>
  <c r="I575" i="20" s="1"/>
  <c r="H316" i="20"/>
  <c r="I316" i="20" s="1"/>
  <c r="H1375" i="20"/>
  <c r="I1375" i="20" s="1"/>
  <c r="H694" i="20"/>
  <c r="I694" i="20" s="1"/>
  <c r="H1229" i="20"/>
  <c r="I1229" i="20" s="1"/>
  <c r="H969" i="20"/>
  <c r="I969" i="20" s="1"/>
  <c r="H1488" i="20"/>
  <c r="I1488" i="20" s="1"/>
  <c r="H1585" i="20"/>
  <c r="I1585" i="20" s="1"/>
  <c r="H2042" i="20"/>
  <c r="I2042" i="20" s="1"/>
  <c r="H832" i="20"/>
  <c r="I832" i="20" s="1"/>
  <c r="H195" i="20"/>
  <c r="I195" i="20" s="1"/>
  <c r="H315" i="20"/>
  <c r="I315" i="20" s="1"/>
  <c r="H2038" i="20"/>
  <c r="I2038" i="20" s="1"/>
  <c r="H1905" i="20"/>
  <c r="I1905" i="20" s="1"/>
  <c r="H1199" i="20"/>
  <c r="I1199" i="20" s="1"/>
  <c r="H782" i="20"/>
  <c r="I782" i="20" s="1"/>
  <c r="H914" i="20"/>
  <c r="I914" i="20" s="1"/>
  <c r="H1380" i="20"/>
  <c r="I1380" i="20" s="1"/>
  <c r="H1364" i="20"/>
  <c r="I1364" i="20" s="1"/>
  <c r="H1859" i="20"/>
  <c r="I1859" i="20" s="1"/>
  <c r="H1648" i="20"/>
  <c r="I1648" i="20" s="1"/>
  <c r="H109" i="20"/>
  <c r="I109" i="20" s="1"/>
  <c r="H947" i="20"/>
  <c r="I947" i="20" s="1"/>
  <c r="H852" i="20"/>
  <c r="I852" i="20" s="1"/>
  <c r="H507" i="20"/>
  <c r="I507" i="20" s="1"/>
  <c r="H1915" i="20"/>
  <c r="I1915" i="20" s="1"/>
  <c r="H554" i="20"/>
  <c r="I554" i="20" s="1"/>
  <c r="H1579" i="20"/>
  <c r="I1579" i="20" s="1"/>
  <c r="H1307" i="20"/>
  <c r="I1307" i="20" s="1"/>
  <c r="H128" i="20"/>
  <c r="I128" i="20" s="1"/>
  <c r="H332" i="20"/>
  <c r="I332" i="20" s="1"/>
  <c r="H305" i="20"/>
  <c r="I305" i="20" s="1"/>
  <c r="H1775" i="20"/>
  <c r="I1775" i="20" s="1"/>
  <c r="H939" i="20"/>
  <c r="I939" i="20" s="1"/>
  <c r="H960" i="20"/>
  <c r="I960" i="20" s="1"/>
  <c r="H220" i="20"/>
  <c r="I220" i="20" s="1"/>
  <c r="H669" i="20"/>
  <c r="I669" i="20" s="1"/>
  <c r="H1552" i="20"/>
  <c r="I1552" i="20" s="1"/>
  <c r="H859" i="20"/>
  <c r="I859" i="20" s="1"/>
  <c r="H1769" i="20"/>
  <c r="I1769" i="20" s="1"/>
  <c r="H492" i="20"/>
  <c r="I492" i="20" s="1"/>
  <c r="H130" i="20"/>
  <c r="I130" i="20" s="1"/>
  <c r="H668" i="20"/>
  <c r="I668" i="20" s="1"/>
  <c r="H1366" i="20"/>
  <c r="I1366" i="20" s="1"/>
  <c r="H834" i="20"/>
  <c r="I834" i="20" s="1"/>
  <c r="H511" i="20"/>
  <c r="I511" i="20" s="1"/>
  <c r="H1049" i="20"/>
  <c r="I1049" i="20" s="1"/>
  <c r="H874" i="20"/>
  <c r="I874" i="20" s="1"/>
  <c r="H1190" i="20"/>
  <c r="I1190" i="20" s="1"/>
  <c r="H1931" i="20"/>
  <c r="I1931" i="20" s="1"/>
  <c r="H212" i="20"/>
  <c r="I212" i="20" s="1"/>
  <c r="H1593" i="20"/>
  <c r="I1593" i="20" s="1"/>
  <c r="H1295" i="20"/>
  <c r="I1295" i="20" s="1"/>
  <c r="H1050" i="20"/>
  <c r="I1050" i="20" s="1"/>
  <c r="H583" i="20"/>
  <c r="I583" i="20" s="1"/>
  <c r="H1768" i="20"/>
  <c r="I1768" i="20" s="1"/>
  <c r="H572" i="20"/>
  <c r="I572" i="20" s="1"/>
  <c r="H955" i="20"/>
  <c r="I955" i="20" s="1"/>
  <c r="H1022" i="20"/>
  <c r="I1022" i="20" s="1"/>
  <c r="H1282" i="20"/>
  <c r="I1282" i="20" s="1"/>
  <c r="H1666" i="20"/>
  <c r="I1666" i="20" s="1"/>
  <c r="H1181" i="20"/>
  <c r="H779" i="20"/>
  <c r="I779" i="20" s="1"/>
  <c r="H119" i="20"/>
  <c r="I119" i="20" s="1"/>
  <c r="H673" i="20"/>
  <c r="I673" i="20" s="1"/>
  <c r="H1853" i="20"/>
  <c r="I1853" i="20" s="1"/>
  <c r="H1924" i="20"/>
  <c r="I1924" i="20" s="1"/>
  <c r="H1762" i="20"/>
  <c r="I1762" i="20" s="1"/>
  <c r="H1386" i="20"/>
  <c r="I1386" i="20" s="1"/>
  <c r="H518" i="20"/>
  <c r="I518" i="20" s="1"/>
  <c r="H508" i="20"/>
  <c r="I508" i="20" s="1"/>
  <c r="H397" i="20"/>
  <c r="I397" i="20" s="1"/>
  <c r="H1864" i="20"/>
  <c r="I1864" i="20" s="1"/>
  <c r="H104" i="20"/>
  <c r="I104" i="20" s="1"/>
  <c r="H1117" i="20"/>
  <c r="I1117" i="20" s="1"/>
  <c r="H1752" i="20"/>
  <c r="I1752" i="20" s="1"/>
  <c r="H1941" i="20"/>
  <c r="I1941" i="20" s="1"/>
  <c r="H1279" i="20"/>
  <c r="I1279" i="20" s="1"/>
  <c r="H466" i="20"/>
  <c r="I466" i="20" s="1"/>
  <c r="H657" i="20"/>
  <c r="I657" i="20" s="1"/>
  <c r="H494" i="20"/>
  <c r="I494" i="20" s="1"/>
  <c r="H1547" i="20"/>
  <c r="I1547" i="20" s="1"/>
  <c r="H1549" i="20"/>
  <c r="I1549" i="20" s="1"/>
  <c r="H406" i="20"/>
  <c r="I406" i="20" s="1"/>
  <c r="H509" i="20"/>
  <c r="I509" i="20" s="1"/>
  <c r="H1398" i="20"/>
  <c r="I1398" i="20" s="1"/>
  <c r="H462" i="20"/>
  <c r="I462" i="20" s="1"/>
  <c r="H404" i="20"/>
  <c r="I404" i="20" s="1"/>
  <c r="H124" i="20"/>
  <c r="I124" i="20" s="1"/>
  <c r="H1729" i="20"/>
  <c r="I1729" i="20" s="1"/>
  <c r="H760" i="20"/>
  <c r="I760" i="20" s="1"/>
  <c r="H471" i="20"/>
  <c r="I471" i="20" s="1"/>
  <c r="H2025" i="20"/>
  <c r="I2025" i="20" s="1"/>
  <c r="H2002" i="20"/>
  <c r="I2002" i="20" s="1"/>
  <c r="H863" i="20"/>
  <c r="I863" i="20" s="1"/>
  <c r="H1224" i="20"/>
  <c r="I1224" i="20" s="1"/>
  <c r="H420" i="20"/>
  <c r="I420" i="20" s="1"/>
  <c r="H132" i="20"/>
  <c r="I132" i="20" s="1"/>
  <c r="H478" i="20"/>
  <c r="I478" i="20" s="1"/>
  <c r="H486" i="20"/>
  <c r="I486" i="20" s="1"/>
  <c r="H1413" i="20"/>
  <c r="I1413" i="20" s="1"/>
  <c r="H375" i="20"/>
  <c r="I375" i="20" s="1"/>
  <c r="H1580" i="20"/>
  <c r="I1580" i="20" s="1"/>
  <c r="H962" i="20"/>
  <c r="I962" i="20" s="1"/>
  <c r="H741" i="20"/>
  <c r="I741" i="20" s="1"/>
  <c r="H472" i="20"/>
  <c r="I472" i="20" s="1"/>
  <c r="H769" i="20"/>
  <c r="I769" i="20" s="1"/>
  <c r="H330" i="20"/>
  <c r="I330" i="20" s="1"/>
  <c r="H1278" i="20"/>
  <c r="I1278" i="20" s="1"/>
  <c r="H1458" i="20"/>
  <c r="I1458" i="20" s="1"/>
  <c r="H489" i="20"/>
  <c r="I489" i="20" s="1"/>
  <c r="H567" i="20"/>
  <c r="I567" i="20" s="1"/>
  <c r="H148" i="20"/>
  <c r="I148" i="20" s="1"/>
  <c r="H1774" i="20"/>
  <c r="I1774" i="20" s="1"/>
  <c r="H1496" i="20"/>
  <c r="I1496" i="20" s="1"/>
  <c r="H1389" i="20"/>
  <c r="I1389" i="20" s="1"/>
  <c r="H309" i="20"/>
  <c r="I309" i="20" s="1"/>
  <c r="H1299" i="20"/>
  <c r="I1299" i="20" s="1"/>
  <c r="H1300" i="20"/>
  <c r="I1300" i="20" s="1"/>
  <c r="H1055" i="20"/>
  <c r="I1055" i="20" s="1"/>
  <c r="H1761" i="20"/>
  <c r="I1761" i="20" s="1"/>
  <c r="H758" i="20"/>
  <c r="I758" i="20" s="1"/>
  <c r="H958" i="20"/>
  <c r="I958" i="20" s="1"/>
  <c r="H1411" i="20"/>
  <c r="I1411" i="20" s="1"/>
  <c r="H1460" i="20"/>
  <c r="I1460" i="20" s="1"/>
  <c r="H1464" i="20"/>
  <c r="I1464" i="20" s="1"/>
  <c r="H2001" i="20"/>
  <c r="I2001" i="20" s="1"/>
  <c r="H1286" i="20"/>
  <c r="I1286" i="20" s="1"/>
  <c r="H830" i="20"/>
  <c r="I830" i="20" s="1"/>
  <c r="H1860" i="20"/>
  <c r="I1860" i="20" s="1"/>
  <c r="H864" i="20"/>
  <c r="I864" i="20" s="1"/>
  <c r="H654" i="20"/>
  <c r="I654" i="20" s="1"/>
  <c r="H1128" i="20"/>
  <c r="I1128" i="20" s="1"/>
  <c r="H1644" i="20"/>
  <c r="I1644" i="20" s="1"/>
  <c r="H1455" i="20"/>
  <c r="I1455" i="20" s="1"/>
  <c r="H926" i="20"/>
  <c r="I926" i="20" s="1"/>
  <c r="H951" i="20"/>
  <c r="I951" i="20" s="1"/>
  <c r="H950" i="20"/>
  <c r="I950" i="20" s="1"/>
  <c r="H1215" i="20"/>
  <c r="I1215" i="20" s="1"/>
  <c r="H1912" i="20"/>
  <c r="I1912" i="20" s="1"/>
  <c r="H659" i="20"/>
  <c r="I659" i="20" s="1"/>
  <c r="H1011" i="20"/>
  <c r="I1011" i="20" s="1"/>
  <c r="H1146" i="20"/>
  <c r="I1146" i="20" s="1"/>
  <c r="H470" i="20"/>
  <c r="I470" i="20" s="1"/>
  <c r="H381" i="20"/>
  <c r="I381" i="20" s="1"/>
  <c r="H209" i="20"/>
  <c r="I209" i="20" s="1"/>
  <c r="H203" i="20"/>
  <c r="I203" i="20" s="1"/>
  <c r="H498" i="20"/>
  <c r="I498" i="20" s="1"/>
  <c r="H1486" i="20"/>
  <c r="I1486" i="20" s="1"/>
  <c r="H569" i="20"/>
  <c r="I569" i="20" s="1"/>
  <c r="H1414" i="20"/>
  <c r="I1414" i="20" s="1"/>
  <c r="H120" i="20"/>
  <c r="I120" i="20" s="1"/>
  <c r="H136" i="20"/>
  <c r="I136" i="20" s="1"/>
  <c r="H493" i="20"/>
  <c r="I493" i="20" s="1"/>
  <c r="H1562" i="20"/>
  <c r="I1562" i="20" s="1"/>
  <c r="H853" i="20"/>
  <c r="I853" i="20" s="1"/>
  <c r="H382" i="20"/>
  <c r="I382" i="20" s="1"/>
  <c r="H1015" i="20"/>
  <c r="I1015" i="20" s="1"/>
  <c r="H831" i="20"/>
  <c r="I831" i="20" s="1"/>
  <c r="H1904" i="20"/>
  <c r="I1904" i="20" s="1"/>
  <c r="H686" i="20"/>
  <c r="I686" i="20" s="1"/>
  <c r="H1851" i="20"/>
  <c r="I1851" i="20" s="1"/>
  <c r="H1667" i="20"/>
  <c r="I1667" i="20" s="1"/>
  <c r="H1501" i="20"/>
  <c r="I1501" i="20" s="1"/>
  <c r="H1678" i="20"/>
  <c r="I1678" i="20" s="1"/>
  <c r="H134" i="20"/>
  <c r="I134" i="20" s="1"/>
  <c r="H1499" i="20"/>
  <c r="I1499" i="20" s="1"/>
  <c r="H1906" i="20"/>
  <c r="I1906" i="20" s="1"/>
  <c r="H2010" i="20"/>
  <c r="I2010" i="20" s="1"/>
  <c r="H1376" i="20"/>
  <c r="I1376" i="20" s="1"/>
  <c r="H578" i="20"/>
  <c r="I578" i="20" s="1"/>
  <c r="H1561" i="20"/>
  <c r="I1561" i="20" s="1"/>
  <c r="H1328" i="20"/>
  <c r="I1328" i="20" s="1"/>
  <c r="H780" i="20"/>
  <c r="I780" i="20" s="1"/>
  <c r="H660" i="20"/>
  <c r="I660" i="20" s="1"/>
  <c r="H1635" i="20"/>
  <c r="I1635" i="20" s="1"/>
  <c r="H645" i="20"/>
  <c r="I645" i="20" s="1"/>
  <c r="H1101" i="20"/>
  <c r="I1101" i="20" s="1"/>
  <c r="H294" i="20"/>
  <c r="H1767" i="20"/>
  <c r="I1767" i="20" s="1"/>
  <c r="H144" i="20"/>
  <c r="I144" i="20" s="1"/>
  <c r="H1503" i="20"/>
  <c r="I1503" i="20" s="1"/>
  <c r="H1868" i="20"/>
  <c r="I1868" i="20" s="1"/>
  <c r="H1509" i="20"/>
  <c r="I1509" i="20" s="1"/>
  <c r="H1938" i="20"/>
  <c r="I1938" i="20" s="1"/>
  <c r="H676" i="20"/>
  <c r="I676" i="20" s="1"/>
  <c r="H651" i="20"/>
  <c r="I651" i="20" s="1"/>
  <c r="H687" i="20"/>
  <c r="I687" i="20" s="1"/>
  <c r="H956" i="20"/>
  <c r="I956" i="20" s="1"/>
  <c r="H588" i="20"/>
  <c r="I588" i="20" s="1"/>
  <c r="H1921" i="20"/>
  <c r="I1921" i="20" s="1"/>
  <c r="H1469" i="20"/>
  <c r="I1469" i="20" s="1"/>
  <c r="H340" i="20"/>
  <c r="I340" i="20" s="1"/>
  <c r="H1030" i="20"/>
  <c r="I1030" i="20" s="1"/>
  <c r="H764" i="20"/>
  <c r="I764" i="20" s="1"/>
  <c r="H1837" i="20"/>
  <c r="I1837" i="20" s="1"/>
  <c r="H1419" i="20"/>
  <c r="I1419" i="20" s="1"/>
  <c r="H556" i="20"/>
  <c r="I556" i="20" s="1"/>
  <c r="H1104" i="20"/>
  <c r="I1104" i="20" s="1"/>
  <c r="H247" i="20"/>
  <c r="I247" i="20" s="1"/>
  <c r="H205" i="20"/>
  <c r="I205" i="20" s="1"/>
  <c r="H1210" i="20"/>
  <c r="I1210" i="20" s="1"/>
  <c r="H671" i="20"/>
  <c r="I671" i="20" s="1"/>
  <c r="H755" i="20"/>
  <c r="I755" i="20" s="1"/>
  <c r="H1369" i="20"/>
  <c r="I1369" i="20" s="1"/>
  <c r="H399" i="20"/>
  <c r="I399" i="20" s="1"/>
  <c r="H307" i="20"/>
  <c r="I307" i="20" s="1"/>
  <c r="H646" i="20"/>
  <c r="I646" i="20" s="1"/>
  <c r="H1205" i="20"/>
  <c r="I1205" i="20" s="1"/>
  <c r="H860" i="20"/>
  <c r="I860" i="20" s="1"/>
  <c r="H1771" i="20"/>
  <c r="I1771" i="20" s="1"/>
  <c r="H1031" i="20"/>
  <c r="I1031" i="20" s="1"/>
  <c r="H102" i="20"/>
  <c r="I102" i="20" s="1"/>
  <c r="H1542" i="20"/>
  <c r="I1542" i="20" s="1"/>
  <c r="H311" i="20"/>
  <c r="I311" i="20" s="1"/>
  <c r="H1663" i="20"/>
  <c r="I1663" i="20" s="1"/>
  <c r="H1456" i="20"/>
  <c r="I1456" i="20" s="1"/>
  <c r="H732" i="20"/>
  <c r="I732" i="20" s="1"/>
  <c r="H1047" i="20"/>
  <c r="I1047" i="20" s="1"/>
  <c r="H1930" i="20"/>
  <c r="I1930" i="20" s="1"/>
  <c r="H1124" i="20"/>
  <c r="I1124" i="20" s="1"/>
  <c r="H1947" i="20"/>
  <c r="I1947" i="20" s="1"/>
  <c r="H231" i="20"/>
  <c r="I231" i="20" s="1"/>
  <c r="H641" i="20"/>
  <c r="H112" i="20"/>
  <c r="I112" i="20" s="1"/>
  <c r="H500" i="20"/>
  <c r="I500" i="20" s="1"/>
  <c r="H1193" i="20"/>
  <c r="H1009" i="20"/>
  <c r="I1009" i="20" s="1"/>
  <c r="H1149" i="20"/>
  <c r="I1149" i="20" s="1"/>
  <c r="H1685" i="20"/>
  <c r="I1685" i="20" s="1"/>
  <c r="H1329" i="20"/>
  <c r="I1329" i="20" s="1"/>
  <c r="H1027" i="20"/>
  <c r="I1027" i="20" s="1"/>
  <c r="H1541" i="20"/>
  <c r="H153" i="20"/>
  <c r="I153" i="20" s="1"/>
  <c r="H485" i="20"/>
  <c r="I485" i="20" s="1"/>
  <c r="H1581" i="20"/>
  <c r="I1581" i="20" s="1"/>
  <c r="H412" i="20"/>
  <c r="I412" i="20" s="1"/>
  <c r="H400" i="20"/>
  <c r="I400" i="20" s="1"/>
  <c r="H329" i="20"/>
  <c r="I329" i="20" s="1"/>
  <c r="H681" i="20"/>
  <c r="I681" i="20" s="1"/>
  <c r="H1679" i="20"/>
  <c r="I1679" i="20" s="1"/>
  <c r="H396" i="20"/>
  <c r="I396" i="20" s="1"/>
  <c r="H1133" i="20"/>
  <c r="I1133" i="20" s="1"/>
  <c r="H1043" i="20"/>
  <c r="I1043" i="20" s="1"/>
  <c r="H1017" i="20"/>
  <c r="I1017" i="20" s="1"/>
  <c r="H1220" i="20"/>
  <c r="I1220" i="20" s="1"/>
  <c r="H427" i="20"/>
  <c r="I427" i="20" s="1"/>
  <c r="H964" i="20"/>
  <c r="I964" i="20" s="1"/>
  <c r="H584" i="20"/>
  <c r="I584" i="20" s="1"/>
  <c r="H1832" i="20"/>
  <c r="I1832" i="20" s="1"/>
  <c r="H1103" i="20"/>
  <c r="H552" i="20"/>
  <c r="I552" i="20" s="1"/>
  <c r="H409" i="20"/>
  <c r="I409" i="20" s="1"/>
  <c r="H304" i="20"/>
  <c r="I304" i="20" s="1"/>
  <c r="H1595" i="20"/>
  <c r="I1595" i="20" s="1"/>
  <c r="H1039" i="20"/>
  <c r="I1039" i="20" s="1"/>
  <c r="H1583" i="20"/>
  <c r="I1583" i="20" s="1"/>
  <c r="H1849" i="20"/>
  <c r="I1849" i="20" s="1"/>
  <c r="H1839" i="20"/>
  <c r="I1839" i="20" s="1"/>
  <c r="H1390" i="20"/>
  <c r="I1390" i="20" s="1"/>
  <c r="H1275" i="20"/>
  <c r="I1275" i="20" s="1"/>
  <c r="H322" i="20"/>
  <c r="I322" i="20" s="1"/>
  <c r="H288" i="20"/>
  <c r="I288" i="20" s="1"/>
  <c r="H586" i="20"/>
  <c r="I586" i="20" s="1"/>
  <c r="H1749" i="20"/>
  <c r="I1749" i="20" s="1"/>
  <c r="H1918" i="20"/>
  <c r="I1918" i="20" s="1"/>
  <c r="H512" i="20"/>
  <c r="I512" i="20" s="1"/>
  <c r="H198" i="20"/>
  <c r="I198" i="20" s="1"/>
  <c r="H129" i="20"/>
  <c r="I129" i="20" s="1"/>
  <c r="H936" i="20"/>
  <c r="I936" i="20" s="1"/>
  <c r="H1012" i="20"/>
  <c r="I1012" i="20" s="1"/>
  <c r="H1543" i="20"/>
  <c r="I1543" i="20" s="1"/>
  <c r="H943" i="20"/>
  <c r="I943" i="20" s="1"/>
  <c r="H230" i="20"/>
  <c r="I230" i="20" s="1"/>
  <c r="H1113" i="20"/>
  <c r="I1113" i="20" s="1"/>
  <c r="H770" i="20"/>
  <c r="I770" i="20" s="1"/>
  <c r="H313" i="20"/>
  <c r="I313" i="20" s="1"/>
  <c r="H1136" i="20"/>
  <c r="I1136" i="20" s="1"/>
  <c r="H585" i="20"/>
  <c r="I585" i="20" s="1"/>
  <c r="H319" i="20"/>
  <c r="I319" i="20" s="1"/>
  <c r="H1506" i="20"/>
  <c r="I1506" i="20" s="1"/>
  <c r="H1684" i="20"/>
  <c r="I1684" i="20" s="1"/>
  <c r="H1588" i="20"/>
  <c r="I1588" i="20" s="1"/>
  <c r="H1115" i="20"/>
  <c r="I1115" i="20" s="1"/>
  <c r="H1763" i="20"/>
  <c r="I1763" i="20" s="1"/>
  <c r="H131" i="20"/>
  <c r="I131" i="20" s="1"/>
  <c r="H1408" i="20"/>
  <c r="I1408" i="20" s="1"/>
  <c r="H873" i="20"/>
  <c r="I873" i="20" s="1"/>
  <c r="H1297" i="20"/>
  <c r="I1297" i="20" s="1"/>
  <c r="H751" i="20"/>
  <c r="I751" i="20" s="1"/>
  <c r="H428" i="20"/>
  <c r="I428" i="20" s="1"/>
  <c r="H323" i="20"/>
  <c r="I323" i="20" s="1"/>
  <c r="H1105" i="20"/>
  <c r="I1105" i="20" s="1"/>
  <c r="H1862" i="20"/>
  <c r="I1862" i="20" s="1"/>
  <c r="H1954" i="20"/>
  <c r="I1954" i="20" s="1"/>
  <c r="H662" i="20"/>
  <c r="I662" i="20" s="1"/>
  <c r="H1586" i="20"/>
  <c r="I1586" i="20" s="1"/>
  <c r="H320" i="20"/>
  <c r="I320" i="20" s="1"/>
  <c r="H1929" i="20"/>
  <c r="I1929" i="20" s="1"/>
  <c r="H1377" i="20"/>
  <c r="I1377" i="20" s="1"/>
  <c r="H201" i="20"/>
  <c r="I201" i="20" s="1"/>
  <c r="H1689" i="20"/>
  <c r="I1689" i="20" s="1"/>
  <c r="H2020" i="20"/>
  <c r="I2020" i="20" s="1"/>
  <c r="H823" i="20"/>
  <c r="I823" i="20" s="1"/>
  <c r="H411" i="20"/>
  <c r="I411" i="20" s="1"/>
  <c r="H1831" i="20"/>
  <c r="I1831" i="20" s="1"/>
  <c r="H1465" i="20"/>
  <c r="I1465" i="20" s="1"/>
  <c r="H318" i="20"/>
  <c r="I318" i="20" s="1"/>
  <c r="H1294" i="20"/>
  <c r="I1294" i="20" s="1"/>
  <c r="H2041" i="20"/>
  <c r="I2041" i="20" s="1"/>
  <c r="H1814" i="20"/>
  <c r="I1814" i="20" s="1"/>
  <c r="H1363" i="20"/>
  <c r="I1363" i="20" s="1"/>
  <c r="H1365" i="20"/>
  <c r="I1365" i="20" s="1"/>
  <c r="H1487" i="20"/>
  <c r="I1487" i="20" s="1"/>
  <c r="H761" i="20"/>
  <c r="I761" i="20" s="1"/>
  <c r="H1661" i="20"/>
  <c r="I1661" i="20" s="1"/>
  <c r="H1934" i="20"/>
  <c r="I1934" i="20" s="1"/>
  <c r="H147" i="20"/>
  <c r="I147" i="20" s="1"/>
  <c r="H1092" i="20"/>
  <c r="I1092" i="20" s="1"/>
  <c r="H658" i="20"/>
  <c r="I658" i="20" s="1"/>
  <c r="H925" i="20"/>
  <c r="I925" i="20" s="1"/>
  <c r="H328" i="20"/>
  <c r="I328" i="20" s="1"/>
  <c r="H146" i="20"/>
  <c r="I146" i="20" s="1"/>
  <c r="H115" i="20"/>
  <c r="H1687" i="20"/>
  <c r="I1687" i="20" s="1"/>
  <c r="H931" i="20"/>
  <c r="I931" i="20" s="1"/>
  <c r="H648" i="20"/>
  <c r="I648" i="20" s="1"/>
  <c r="H1480" i="20"/>
  <c r="I1480" i="20" s="1"/>
  <c r="H1098" i="20"/>
  <c r="I1098" i="20" s="1"/>
  <c r="H1467" i="20"/>
  <c r="I1467" i="20" s="1"/>
  <c r="H652" i="20"/>
  <c r="H1385" i="20"/>
  <c r="I1385" i="20" s="1"/>
  <c r="H1724" i="20"/>
  <c r="I1724" i="20" s="1"/>
  <c r="H1125" i="20"/>
  <c r="I1125" i="20" s="1"/>
  <c r="H927" i="20"/>
  <c r="I927" i="20" s="1"/>
  <c r="H1728" i="20"/>
  <c r="I1728" i="20" s="1"/>
  <c r="H838" i="20"/>
  <c r="I838" i="20" s="1"/>
  <c r="H1649" i="20"/>
  <c r="I1649" i="20" s="1"/>
  <c r="H468" i="20"/>
  <c r="I468" i="20" s="1"/>
  <c r="H1645" i="20"/>
  <c r="I1645" i="20" s="1"/>
  <c r="H376" i="20"/>
  <c r="I376" i="20" s="1"/>
  <c r="H1737" i="20"/>
  <c r="I1737" i="20" s="1"/>
  <c r="H334" i="20"/>
  <c r="I334" i="20" s="1"/>
  <c r="H303" i="20"/>
  <c r="I303" i="20" s="1"/>
  <c r="H749" i="20"/>
  <c r="I749" i="20" s="1"/>
  <c r="H944" i="20"/>
  <c r="I944" i="20" s="1"/>
  <c r="H1023" i="20"/>
  <c r="I1023" i="20" s="1"/>
  <c r="H870" i="20"/>
  <c r="I870" i="20" s="1"/>
  <c r="H157" i="20"/>
  <c r="I157" i="20" s="1"/>
  <c r="H424" i="20"/>
  <c r="I424" i="20" s="1"/>
  <c r="H601" i="20"/>
  <c r="I601" i="20" s="1"/>
  <c r="H1838" i="20"/>
  <c r="I1838" i="20" s="1"/>
  <c r="H156" i="20"/>
  <c r="I156" i="20" s="1"/>
  <c r="H1192" i="20"/>
  <c r="I1192" i="20" s="1"/>
  <c r="H785" i="20"/>
  <c r="I785" i="20" s="1"/>
  <c r="H1230" i="20"/>
  <c r="I1230" i="20" s="1"/>
  <c r="H145" i="20"/>
  <c r="I145" i="20" s="1"/>
  <c r="H1461" i="20"/>
  <c r="I1461" i="20" s="1"/>
  <c r="H216" i="20"/>
  <c r="I216" i="20" s="1"/>
  <c r="H1733" i="20"/>
  <c r="I1733" i="20" s="1"/>
  <c r="H469" i="20"/>
  <c r="I469" i="20" s="1"/>
  <c r="H1926" i="20"/>
  <c r="I1926" i="20" s="1"/>
  <c r="H1122" i="20"/>
  <c r="I1122" i="20" s="1"/>
  <c r="H1203" i="20"/>
  <c r="I1203" i="20" s="1"/>
  <c r="H1563" i="20"/>
  <c r="I1563" i="20" s="1"/>
  <c r="H1818" i="20"/>
  <c r="I1818" i="20" s="1"/>
  <c r="H374" i="20"/>
  <c r="I374" i="20" s="1"/>
  <c r="H2048" i="20"/>
  <c r="I2048" i="20" s="1"/>
  <c r="H1777" i="20"/>
  <c r="I1777" i="20" s="1"/>
  <c r="H959" i="20"/>
  <c r="I959" i="20" s="1"/>
  <c r="H1723" i="20"/>
  <c r="I1723" i="20" s="1"/>
  <c r="H1140" i="20"/>
  <c r="I1140" i="20" s="1"/>
  <c r="H1468" i="20"/>
  <c r="I1468" i="20" s="1"/>
  <c r="H2031" i="20"/>
  <c r="I2031" i="20" s="1"/>
  <c r="H390" i="20"/>
  <c r="I390" i="20" s="1"/>
  <c r="H461" i="20"/>
  <c r="H206" i="20"/>
  <c r="H1565" i="20"/>
  <c r="I1565" i="20" s="1"/>
  <c r="H872" i="20"/>
  <c r="I872" i="20" s="1"/>
  <c r="H118" i="20"/>
  <c r="I118" i="20" s="1"/>
  <c r="H1218" i="20"/>
  <c r="I1218" i="20" s="1"/>
  <c r="H875" i="20"/>
  <c r="I875" i="20" s="1"/>
  <c r="H1013" i="20"/>
  <c r="I1013" i="20" s="1"/>
  <c r="H822" i="20"/>
  <c r="I822" i="20" s="1"/>
  <c r="H1993" i="20"/>
  <c r="I1993" i="20" s="1"/>
  <c r="H1135" i="20"/>
  <c r="I1135" i="20" s="1"/>
  <c r="H1059" i="20"/>
  <c r="I1059" i="20" s="1"/>
  <c r="H238" i="20"/>
  <c r="I238" i="20" s="1"/>
  <c r="H1653" i="20"/>
  <c r="I1653" i="20" s="1"/>
  <c r="H506" i="20"/>
  <c r="I506" i="20" s="1"/>
  <c r="H416" i="20"/>
  <c r="I416" i="20" s="1"/>
  <c r="H555" i="20"/>
  <c r="I555" i="20" s="1"/>
  <c r="H861" i="20"/>
  <c r="I861" i="20" s="1"/>
  <c r="H1856" i="20"/>
  <c r="I1856" i="20" s="1"/>
  <c r="H1589" i="20"/>
  <c r="I1589" i="20" s="1"/>
  <c r="H1045" i="20"/>
  <c r="I1045" i="20" s="1"/>
  <c r="H557" i="20"/>
  <c r="I557" i="20" s="1"/>
  <c r="H1058" i="20"/>
  <c r="I1058" i="20" s="1"/>
  <c r="H1780" i="20"/>
  <c r="I1780" i="20" s="1"/>
  <c r="H1206" i="20"/>
  <c r="I1206" i="20" s="1"/>
  <c r="H1834" i="20"/>
  <c r="I1834" i="20" s="1"/>
  <c r="H1557" i="20"/>
  <c r="I1557" i="20" s="1"/>
  <c r="H235" i="20"/>
  <c r="I235" i="20" s="1"/>
  <c r="H1237" i="20"/>
  <c r="I1237" i="20" s="1"/>
  <c r="H661" i="20"/>
  <c r="I661" i="20" s="1"/>
  <c r="H1748" i="20"/>
  <c r="I1748" i="20" s="1"/>
  <c r="H605" i="20"/>
  <c r="I605" i="20" s="1"/>
  <c r="H1362" i="20"/>
  <c r="I1362" i="20" s="1"/>
  <c r="H1239" i="20"/>
  <c r="I1239" i="20" s="1"/>
  <c r="H1953" i="20"/>
  <c r="I1953" i="20" s="1"/>
  <c r="H1656" i="20"/>
  <c r="I1656" i="20" s="1"/>
  <c r="H1576" i="20"/>
  <c r="I1576" i="20" s="1"/>
  <c r="H1813" i="20"/>
  <c r="I1813" i="20" s="1"/>
  <c r="H1096" i="20"/>
  <c r="I1096" i="20" s="1"/>
  <c r="H372" i="20"/>
  <c r="I372" i="20" s="1"/>
  <c r="H1829" i="20"/>
  <c r="I1829" i="20" s="1"/>
  <c r="H593" i="20"/>
  <c r="I593" i="20" s="1"/>
  <c r="H1217" i="20"/>
  <c r="I1217" i="20" s="1"/>
  <c r="H214" i="20"/>
  <c r="I214" i="20" s="1"/>
  <c r="H1044" i="20"/>
  <c r="I1044" i="20" s="1"/>
  <c r="H1476" i="20"/>
  <c r="I1476" i="20" s="1"/>
  <c r="H297" i="20"/>
  <c r="I297" i="20" s="1"/>
  <c r="H1505" i="20"/>
  <c r="I1505" i="20" s="1"/>
  <c r="H1632" i="20"/>
  <c r="I1632" i="20" s="1"/>
  <c r="H1811" i="20"/>
  <c r="H1925" i="20"/>
  <c r="I1925" i="20" s="1"/>
  <c r="H1111" i="20"/>
  <c r="I1111" i="20" s="1"/>
  <c r="H607" i="20"/>
  <c r="I607" i="20" s="1"/>
  <c r="H828" i="20"/>
  <c r="I828" i="20" s="1"/>
  <c r="H1038" i="20"/>
  <c r="I1038" i="20" s="1"/>
  <c r="H1669" i="20"/>
  <c r="I1669" i="20" s="1"/>
  <c r="H1235" i="20"/>
  <c r="I1235" i="20" s="1"/>
  <c r="H1959" i="20"/>
  <c r="I1959" i="20" s="1"/>
  <c r="H1598" i="20"/>
  <c r="I1598" i="20" s="1"/>
  <c r="H513" i="20"/>
  <c r="I513" i="20" s="1"/>
  <c r="H691" i="20"/>
  <c r="I691" i="20" s="1"/>
  <c r="H573" i="20"/>
  <c r="I573" i="20" s="1"/>
  <c r="H1370" i="20"/>
  <c r="I1370" i="20" s="1"/>
  <c r="H1949" i="20"/>
  <c r="I1949" i="20" s="1"/>
  <c r="H911" i="20"/>
  <c r="H788" i="20"/>
  <c r="I788" i="20" s="1"/>
  <c r="H236" i="20"/>
  <c r="I236" i="20" s="1"/>
  <c r="H1091" i="20"/>
  <c r="H836" i="20"/>
  <c r="I836" i="20" s="1"/>
  <c r="H1857" i="20"/>
  <c r="I1857" i="20" s="1"/>
  <c r="H483" i="20"/>
  <c r="I483" i="20" s="1"/>
  <c r="H1600" i="20"/>
  <c r="I1600" i="20" s="1"/>
  <c r="H1510" i="20"/>
  <c r="I1510" i="20" s="1"/>
  <c r="H207" i="20"/>
  <c r="I207" i="20" s="1"/>
  <c r="H1221" i="20"/>
  <c r="I1221" i="20" s="1"/>
  <c r="H1820" i="20"/>
  <c r="I1820" i="20" s="1"/>
  <c r="H949" i="20"/>
  <c r="I949" i="20" s="1"/>
  <c r="H430" i="20"/>
  <c r="I430" i="20" s="1"/>
  <c r="H1940" i="20"/>
  <c r="I1940" i="20" s="1"/>
  <c r="H843" i="20"/>
  <c r="I843" i="20" s="1"/>
  <c r="H1406" i="20"/>
  <c r="I1406" i="20" s="1"/>
  <c r="H587" i="20"/>
  <c r="I587" i="20" s="1"/>
  <c r="H748" i="20"/>
  <c r="I748" i="20" s="1"/>
  <c r="H1995" i="20"/>
  <c r="I1995" i="20" s="1"/>
  <c r="H1573" i="20"/>
  <c r="I1573" i="20" s="1"/>
  <c r="H1677" i="20"/>
  <c r="I1677" i="20" s="1"/>
  <c r="H1999" i="20"/>
  <c r="I1999" i="20" s="1"/>
  <c r="H1196" i="20"/>
  <c r="I1196" i="20" s="1"/>
  <c r="H121" i="20"/>
  <c r="I121" i="20" s="1"/>
  <c r="H1095" i="20"/>
  <c r="I1095" i="20" s="1"/>
  <c r="H945" i="20"/>
  <c r="I945" i="20" s="1"/>
  <c r="H516" i="20"/>
  <c r="I516" i="20" s="1"/>
  <c r="H1417" i="20"/>
  <c r="I1417" i="20" s="1"/>
  <c r="H1483" i="20"/>
  <c r="I1483" i="20" s="1"/>
  <c r="H1393" i="20"/>
  <c r="I1393" i="20" s="1"/>
  <c r="H1596" i="20"/>
  <c r="I1596" i="20" s="1"/>
  <c r="H675" i="20"/>
  <c r="I675" i="20" s="1"/>
  <c r="H335" i="20"/>
  <c r="I335" i="20" s="1"/>
  <c r="H1040" i="20"/>
  <c r="I1040" i="20" s="1"/>
  <c r="H481" i="20"/>
  <c r="I481" i="20" s="1"/>
  <c r="H845" i="20"/>
  <c r="I845" i="20" s="1"/>
  <c r="H1383" i="20"/>
  <c r="I1383" i="20" s="1"/>
  <c r="H1481" i="20"/>
  <c r="I1481" i="20" s="1"/>
  <c r="H310" i="20"/>
  <c r="I310" i="20" s="1"/>
  <c r="H1106" i="20"/>
  <c r="I1106" i="20" s="1"/>
  <c r="H1935" i="20"/>
  <c r="I1935" i="20" s="1"/>
  <c r="H395" i="20"/>
  <c r="I395" i="20" s="1"/>
  <c r="H2021" i="20"/>
  <c r="I2021" i="20" s="1"/>
  <c r="H1772" i="20"/>
  <c r="I1772" i="20" s="1"/>
  <c r="H1641" i="20"/>
  <c r="I1641" i="20" s="1"/>
  <c r="H1756" i="20"/>
  <c r="I1756" i="20" s="1"/>
  <c r="H844" i="20"/>
  <c r="I844" i="20" s="1"/>
  <c r="H1916" i="20"/>
  <c r="I1916" i="20" s="1"/>
  <c r="H479" i="20"/>
  <c r="I479" i="20" s="1"/>
  <c r="H952" i="20"/>
  <c r="I952" i="20" s="1"/>
  <c r="H1309" i="20"/>
  <c r="I1309" i="20" s="1"/>
  <c r="H2027" i="20"/>
  <c r="I2027" i="20" s="1"/>
  <c r="H1570" i="20"/>
  <c r="I1570" i="20" s="1"/>
  <c r="H1189" i="20"/>
  <c r="I1189" i="20" s="1"/>
  <c r="H1194" i="20"/>
  <c r="I1194" i="20" s="1"/>
  <c r="H239" i="20"/>
  <c r="I239" i="20" s="1"/>
  <c r="H394" i="20"/>
  <c r="I394" i="20" s="1"/>
  <c r="H840" i="20"/>
  <c r="I840" i="20" s="1"/>
  <c r="H1572" i="20"/>
  <c r="I1572" i="20" s="1"/>
  <c r="H1401" i="20"/>
  <c r="I1401" i="20" s="1"/>
  <c r="H1099" i="20"/>
  <c r="I1099" i="20" s="1"/>
  <c r="H250" i="20"/>
  <c r="I250" i="20" s="1"/>
  <c r="H920" i="20"/>
  <c r="I920" i="20" s="1"/>
  <c r="H1841" i="20"/>
  <c r="I1841" i="20" s="1"/>
  <c r="H1195" i="20"/>
  <c r="I1195" i="20" s="1"/>
  <c r="H609" i="20"/>
  <c r="I609" i="20" s="1"/>
  <c r="H1587" i="20"/>
  <c r="I1587" i="20" s="1"/>
  <c r="H2013" i="20"/>
  <c r="I2013" i="20" s="1"/>
  <c r="H937" i="20"/>
  <c r="I937" i="20" s="1"/>
  <c r="H1750" i="20"/>
  <c r="I1750" i="20" s="1"/>
  <c r="H1019" i="20"/>
  <c r="I1019" i="20" s="1"/>
  <c r="H1025" i="20"/>
  <c r="I1025" i="20" s="1"/>
  <c r="H1560" i="20"/>
  <c r="I1560" i="20" s="1"/>
  <c r="H107" i="20"/>
  <c r="I107" i="20" s="1"/>
  <c r="H122" i="20"/>
  <c r="I122" i="20" s="1"/>
  <c r="H1004" i="20"/>
  <c r="I1004" i="20" s="1"/>
  <c r="H564" i="20"/>
  <c r="H1594" i="20"/>
  <c r="I1594" i="20" s="1"/>
  <c r="H1016" i="20"/>
  <c r="I1016" i="20" s="1"/>
  <c r="H913" i="20"/>
  <c r="I913" i="20" s="1"/>
  <c r="H302" i="20"/>
  <c r="I302" i="20" s="1"/>
  <c r="H391" i="20"/>
  <c r="I391" i="20" s="1"/>
  <c r="H480" i="20"/>
  <c r="I480" i="20" s="1"/>
  <c r="H282" i="20"/>
  <c r="I282" i="20" s="1"/>
  <c r="H1108" i="20"/>
  <c r="I1108" i="20" s="1"/>
  <c r="H1462" i="20"/>
  <c r="H1564" i="20"/>
  <c r="I1564" i="20" s="1"/>
  <c r="H647" i="20"/>
  <c r="I647" i="20" s="1"/>
  <c r="H2028" i="20"/>
  <c r="I2028" i="20" s="1"/>
  <c r="H862" i="20"/>
  <c r="I862" i="20" s="1"/>
  <c r="H953" i="20"/>
  <c r="I953" i="20" s="1"/>
  <c r="H642" i="20"/>
  <c r="I642" i="20" s="1"/>
  <c r="H594" i="20"/>
  <c r="I594" i="20" s="1"/>
  <c r="H559" i="20"/>
  <c r="I559" i="20" s="1"/>
  <c r="H1844" i="20"/>
  <c r="I1844" i="20" s="1"/>
  <c r="H1474" i="20"/>
  <c r="I1474" i="20" s="1"/>
  <c r="H1571" i="20"/>
  <c r="I1571" i="20" s="1"/>
  <c r="H1298" i="20"/>
  <c r="I1298" i="20" s="1"/>
  <c r="H1219" i="20"/>
  <c r="I1219" i="20" s="1"/>
  <c r="H697" i="20"/>
  <c r="I697" i="20" s="1"/>
  <c r="H1847" i="20"/>
  <c r="I1847" i="20" s="1"/>
  <c r="H775" i="20"/>
  <c r="I775" i="20" s="1"/>
  <c r="H880" i="20"/>
  <c r="I880" i="20" s="1"/>
  <c r="H571" i="20"/>
  <c r="I571" i="20" s="1"/>
  <c r="H600" i="20"/>
  <c r="I600" i="20" s="1"/>
  <c r="H551" i="20"/>
  <c r="H1396" i="20"/>
  <c r="I1396" i="20" s="1"/>
  <c r="H140" i="20"/>
  <c r="I140" i="20" s="1"/>
  <c r="H1914" i="20"/>
  <c r="I1914" i="20" s="1"/>
  <c r="H582" i="20"/>
  <c r="I582" i="20" s="1"/>
  <c r="H1097" i="20"/>
  <c r="I1097" i="20" s="1"/>
  <c r="H213" i="20"/>
  <c r="I213" i="20" s="1"/>
  <c r="H1035" i="20"/>
  <c r="I1035" i="20" s="1"/>
  <c r="H598" i="20"/>
  <c r="I598" i="20" s="1"/>
  <c r="H246" i="20"/>
  <c r="I246" i="20" s="1"/>
  <c r="H248" i="20"/>
  <c r="I248" i="20" s="1"/>
  <c r="H383" i="20"/>
  <c r="I383" i="20" s="1"/>
  <c r="H2037" i="20"/>
  <c r="I2037" i="20" s="1"/>
  <c r="H1858" i="20"/>
  <c r="I1858" i="20" s="1"/>
  <c r="H1420" i="20"/>
  <c r="I1420" i="20" s="1"/>
  <c r="H2035" i="20"/>
  <c r="I2035" i="20" s="1"/>
  <c r="H865" i="20"/>
  <c r="I865" i="20" s="1"/>
  <c r="H677" i="20"/>
  <c r="I677" i="20" s="1"/>
  <c r="H1100" i="20"/>
  <c r="I1100" i="20" s="1"/>
  <c r="H1998" i="20"/>
  <c r="I1998" i="20" s="1"/>
  <c r="H919" i="20"/>
  <c r="I919" i="20" s="1"/>
  <c r="H1492" i="20"/>
  <c r="I1492" i="20" s="1"/>
  <c r="H767" i="20"/>
  <c r="I767" i="20" s="1"/>
  <c r="H467" i="20"/>
  <c r="I467" i="20" s="1"/>
  <c r="H655" i="20"/>
  <c r="I655" i="20" s="1"/>
  <c r="H1274" i="20"/>
  <c r="I1274" i="20" s="1"/>
  <c r="H1470" i="20"/>
  <c r="I1470" i="20" s="1"/>
  <c r="H685" i="20"/>
  <c r="I685" i="20" s="1"/>
  <c r="H193" i="20"/>
  <c r="I193" i="20" s="1"/>
  <c r="H1950" i="20"/>
  <c r="I1950" i="20" s="1"/>
  <c r="H566" i="20"/>
  <c r="I566" i="20" s="1"/>
  <c r="H1271" i="20"/>
  <c r="H1312" i="20"/>
  <c r="I1312" i="20" s="1"/>
  <c r="H2003" i="20"/>
  <c r="I2003" i="20" s="1"/>
  <c r="H1308" i="20"/>
  <c r="I1308" i="20" s="1"/>
  <c r="H2043" i="20"/>
  <c r="I2043" i="20" s="1"/>
  <c r="H561" i="20"/>
  <c r="I561" i="20" s="1"/>
  <c r="H1472" i="20"/>
  <c r="I1472" i="20" s="1"/>
  <c r="H1919" i="20"/>
  <c r="I1919" i="20" s="1"/>
  <c r="H514" i="20"/>
  <c r="I514" i="20" s="1"/>
  <c r="H917" i="20"/>
  <c r="I917" i="20" s="1"/>
  <c r="H574" i="20"/>
  <c r="I574" i="20" s="1"/>
  <c r="H1233" i="20"/>
  <c r="I1233" i="20" s="1"/>
  <c r="H1143" i="20"/>
  <c r="I1143" i="20" s="1"/>
  <c r="H1371" i="20"/>
  <c r="I1371" i="20" s="1"/>
  <c r="H1508" i="20"/>
  <c r="I1508" i="20" s="1"/>
  <c r="H2012" i="20"/>
  <c r="I2012" i="20" s="1"/>
  <c r="H2019" i="20"/>
  <c r="I2019" i="20" s="1"/>
  <c r="H745" i="20"/>
  <c r="I745" i="20" s="1"/>
  <c r="H1833" i="20"/>
  <c r="I1833" i="20" s="1"/>
  <c r="H1008" i="20"/>
  <c r="I1008" i="20" s="1"/>
  <c r="H1187" i="20"/>
  <c r="I1187" i="20" s="1"/>
  <c r="H946" i="20"/>
  <c r="I946" i="20" s="1"/>
  <c r="H2011" i="20"/>
  <c r="I2011" i="20" s="1"/>
  <c r="H693" i="20"/>
  <c r="I693" i="20" s="1"/>
  <c r="H1730" i="20"/>
  <c r="I1730" i="20" s="1"/>
  <c r="H1852" i="20"/>
  <c r="I1852" i="20" s="1"/>
  <c r="H1052" i="20"/>
  <c r="I1052" i="20" s="1"/>
  <c r="H2018" i="20"/>
  <c r="I2018" i="20" s="1"/>
  <c r="H1283" i="20"/>
  <c r="I1283" i="20" s="1"/>
  <c r="H1479" i="20"/>
  <c r="I1479" i="20" s="1"/>
  <c r="H1144" i="20"/>
  <c r="I1144" i="20" s="1"/>
  <c r="H1272" i="20"/>
  <c r="I1272" i="20" s="1"/>
  <c r="H590" i="20"/>
  <c r="I590" i="20" s="1"/>
  <c r="H1367" i="20"/>
  <c r="I1367" i="20" s="1"/>
  <c r="H756" i="20"/>
  <c r="I756" i="20" s="1"/>
  <c r="H484" i="20"/>
  <c r="I484" i="20" s="1"/>
  <c r="H327" i="20"/>
  <c r="I327" i="20" s="1"/>
  <c r="H1631" i="20"/>
  <c r="H2004" i="20"/>
  <c r="I2004" i="20" s="1"/>
  <c r="H2034" i="20"/>
  <c r="I2034" i="20" s="1"/>
  <c r="H602" i="20"/>
  <c r="I602" i="20" s="1"/>
  <c r="H2016" i="20"/>
  <c r="I2016" i="20" s="1"/>
  <c r="H1056" i="20"/>
  <c r="I1056" i="20" s="1"/>
  <c r="H1284" i="20"/>
  <c r="I1284" i="20" s="1"/>
  <c r="H915" i="20"/>
  <c r="I915" i="20" s="1"/>
  <c r="H474" i="20"/>
  <c r="H855" i="20"/>
  <c r="I855" i="20" s="1"/>
  <c r="H1731" i="20"/>
  <c r="I1731" i="20" s="1"/>
  <c r="H867" i="20"/>
  <c r="I867" i="20" s="1"/>
  <c r="H1575" i="20"/>
  <c r="I1575" i="20" s="1"/>
  <c r="H1584" i="20"/>
  <c r="I1584" i="20" s="1"/>
  <c r="H1850" i="20"/>
  <c r="I1850" i="20" s="1"/>
  <c r="H1037" i="20"/>
  <c r="I1037" i="20" s="1"/>
  <c r="H505" i="20"/>
  <c r="I505" i="20" s="1"/>
  <c r="H1032" i="20"/>
  <c r="I1032" i="20" s="1"/>
  <c r="H1960" i="20"/>
  <c r="I1960" i="20" s="1"/>
  <c r="H1407" i="20"/>
  <c r="I1407" i="20" s="1"/>
  <c r="H398" i="20"/>
  <c r="I398" i="20" s="1"/>
  <c r="H1121" i="20"/>
  <c r="I1121" i="20" s="1"/>
  <c r="H1041" i="20"/>
  <c r="I1041" i="20" s="1"/>
  <c r="H413" i="20"/>
  <c r="I413" i="20" s="1"/>
  <c r="H123" i="20"/>
  <c r="I123" i="20" s="1"/>
  <c r="H1452" i="20"/>
  <c r="I1452" i="20" s="1"/>
  <c r="H849" i="20"/>
  <c r="I849" i="20" s="1"/>
  <c r="H314" i="20"/>
  <c r="I314" i="20" s="1"/>
  <c r="H1823" i="20"/>
  <c r="I1823" i="20" s="1"/>
  <c r="H1680" i="20"/>
  <c r="I1680" i="20" s="1"/>
  <c r="H1459" i="20"/>
  <c r="I1459" i="20" s="1"/>
  <c r="H663" i="20"/>
  <c r="I663" i="20" s="1"/>
  <c r="H2047" i="20"/>
  <c r="I2047" i="20" s="1"/>
  <c r="H1145" i="20"/>
  <c r="I1145" i="20" s="1"/>
  <c r="H1285" i="20"/>
  <c r="I1285" i="20" s="1"/>
  <c r="H1923" i="20"/>
  <c r="I1923" i="20" s="1"/>
  <c r="H1591" i="20"/>
  <c r="I1591" i="20" s="1"/>
  <c r="H1936" i="20"/>
  <c r="I1936" i="20" s="1"/>
  <c r="H1721" i="20"/>
  <c r="H829" i="20"/>
  <c r="I829" i="20" s="1"/>
  <c r="H1569" i="20"/>
  <c r="I1569" i="20" s="1"/>
  <c r="H385" i="20"/>
  <c r="I385" i="20" s="1"/>
  <c r="H1302" i="20"/>
  <c r="I1302" i="20" s="1"/>
  <c r="H1388" i="20"/>
  <c r="I1388" i="20" s="1"/>
  <c r="H1327" i="20"/>
  <c r="I1327" i="20" s="1"/>
  <c r="H143" i="20"/>
  <c r="I143" i="20" s="1"/>
  <c r="H1568" i="20"/>
  <c r="I1568" i="20" s="1"/>
  <c r="H2024" i="20"/>
  <c r="I2024" i="20" s="1"/>
  <c r="H240" i="20"/>
  <c r="I240" i="20" s="1"/>
  <c r="H846" i="20"/>
  <c r="I846" i="20" s="1"/>
  <c r="H407" i="20"/>
  <c r="I407" i="20" s="1"/>
  <c r="H222" i="20"/>
  <c r="I222" i="20" s="1"/>
  <c r="H689" i="20"/>
  <c r="I689" i="20" s="1"/>
  <c r="H643" i="20"/>
  <c r="I643" i="20" s="1"/>
  <c r="H425" i="20"/>
  <c r="I425" i="20" s="1"/>
  <c r="H1289" i="20"/>
  <c r="I1289" i="20" s="1"/>
  <c r="H2000" i="20"/>
  <c r="I2000" i="20" s="1"/>
  <c r="H833" i="20"/>
  <c r="H1776" i="20"/>
  <c r="I1776" i="20" s="1"/>
  <c r="H746" i="20"/>
  <c r="I746" i="20" s="1"/>
  <c r="H496" i="20"/>
  <c r="I496" i="20" s="1"/>
  <c r="H1757" i="20"/>
  <c r="I1757" i="20" s="1"/>
  <c r="H1996" i="20"/>
  <c r="I1996" i="20" s="1"/>
  <c r="H388" i="20"/>
  <c r="I388" i="20" s="1"/>
  <c r="H580" i="20"/>
  <c r="I580" i="20" s="1"/>
  <c r="H211" i="20"/>
  <c r="I211" i="20" s="1"/>
  <c r="H1994" i="20"/>
  <c r="I1994" i="20" s="1"/>
  <c r="H1683" i="20"/>
  <c r="I1683" i="20" s="1"/>
  <c r="H1132" i="20"/>
  <c r="I1132" i="20" s="1"/>
  <c r="H1400" i="20"/>
  <c r="I1400" i="20" s="1"/>
  <c r="H1291" i="20"/>
  <c r="I1291" i="20" s="1"/>
  <c r="H1672" i="20"/>
  <c r="I1672" i="20" s="1"/>
  <c r="H293" i="20"/>
  <c r="I293" i="20" s="1"/>
  <c r="H285" i="20"/>
  <c r="I285" i="20" s="1"/>
  <c r="H1485" i="20"/>
  <c r="I1485" i="20" s="1"/>
  <c r="H930" i="20"/>
  <c r="I930" i="20" s="1"/>
  <c r="H2007" i="20"/>
  <c r="I2007" i="20" s="1"/>
  <c r="H916" i="20"/>
  <c r="I916" i="20" s="1"/>
  <c r="H1664" i="20"/>
  <c r="I1664" i="20" s="1"/>
  <c r="H1778" i="20"/>
  <c r="I1778" i="20" s="1"/>
  <c r="H1745" i="20"/>
  <c r="I1745" i="20" s="1"/>
  <c r="H1288" i="20"/>
  <c r="I1288" i="20" s="1"/>
  <c r="H1034" i="20"/>
  <c r="I1034" i="20" s="1"/>
  <c r="H1277" i="20"/>
  <c r="I1277" i="20" s="1"/>
  <c r="H1922" i="20"/>
  <c r="I1922" i="20" s="1"/>
  <c r="H1197" i="20"/>
  <c r="I1197" i="20" s="1"/>
  <c r="H490" i="20"/>
  <c r="I490" i="20" s="1"/>
  <c r="H1504" i="20"/>
  <c r="I1504" i="20" s="1"/>
  <c r="H1764" i="20"/>
  <c r="I1764" i="20" s="1"/>
  <c r="H142" i="20"/>
  <c r="I142" i="20" s="1"/>
  <c r="H1306" i="20"/>
  <c r="I1306" i="20" s="1"/>
  <c r="H1320" i="20"/>
  <c r="I1320" i="20" s="1"/>
  <c r="H970" i="20"/>
  <c r="I970" i="20" s="1"/>
  <c r="H1992" i="20"/>
  <c r="I1992" i="20" s="1"/>
  <c r="H848" i="20"/>
  <c r="I848" i="20" s="1"/>
  <c r="H750" i="20"/>
  <c r="I750" i="20" s="1"/>
  <c r="H2030" i="20"/>
  <c r="I2030" i="20" s="1"/>
  <c r="H380" i="20"/>
  <c r="I380" i="20" s="1"/>
  <c r="H743" i="20"/>
  <c r="H117" i="20"/>
  <c r="I117" i="20" s="1"/>
  <c r="H1740" i="20"/>
  <c r="I1740" i="20" s="1"/>
  <c r="H1200" i="20"/>
  <c r="I1200" i="20" s="1"/>
  <c r="H1051" i="20"/>
  <c r="I1051" i="20" s="1"/>
  <c r="H1907" i="20"/>
  <c r="I1907" i="20" s="1"/>
  <c r="H1373" i="20"/>
  <c r="I1373" i="20" s="1"/>
  <c r="H1208" i="20"/>
  <c r="I1208" i="20" s="1"/>
  <c r="H1765" i="20"/>
  <c r="I1765" i="20" s="1"/>
  <c r="H339" i="20"/>
  <c r="I339" i="20" s="1"/>
  <c r="H1952" i="20"/>
  <c r="I1952" i="20" s="1"/>
  <c r="H210" i="20"/>
  <c r="I210" i="20" s="1"/>
  <c r="H1636" i="20"/>
  <c r="I1636" i="20" s="1"/>
  <c r="H1183" i="20"/>
  <c r="I1183" i="20" s="1"/>
  <c r="H570" i="20"/>
  <c r="I570" i="20" s="1"/>
  <c r="H824" i="20"/>
  <c r="I824" i="20" s="1"/>
  <c r="H854" i="20"/>
  <c r="I854" i="20" s="1"/>
  <c r="H229" i="20"/>
  <c r="I229" i="20" s="1"/>
  <c r="H218" i="20"/>
  <c r="I218" i="20" s="1"/>
  <c r="H1655" i="20"/>
  <c r="I1655" i="20" s="1"/>
  <c r="H371" i="20"/>
  <c r="H879" i="20"/>
  <c r="I879" i="20" s="1"/>
  <c r="H1053" i="20"/>
  <c r="I1053" i="20" s="1"/>
  <c r="H1322" i="20"/>
  <c r="I1322" i="20" s="1"/>
  <c r="H1738" i="20"/>
  <c r="I1738" i="20" s="1"/>
  <c r="H1773" i="20"/>
  <c r="I1773" i="20" s="1"/>
  <c r="H477" i="20"/>
  <c r="I477" i="20" s="1"/>
  <c r="H1751" i="20"/>
  <c r="I1751" i="20" s="1"/>
  <c r="H1732" i="20"/>
  <c r="H786" i="20"/>
  <c r="I786" i="20" s="1"/>
  <c r="H736" i="20"/>
  <c r="I736" i="20" s="1"/>
  <c r="H488" i="20"/>
  <c r="I488" i="20" s="1"/>
  <c r="H1148" i="20"/>
  <c r="I1148" i="20" s="1"/>
  <c r="H747" i="20"/>
  <c r="I747" i="20" s="1"/>
  <c r="H135" i="20"/>
  <c r="I135" i="20" s="1"/>
  <c r="H1223" i="20"/>
  <c r="I1223" i="20" s="1"/>
  <c r="H1213" i="20"/>
  <c r="I1213" i="20" s="1"/>
  <c r="H465" i="20"/>
  <c r="I465" i="20" s="1"/>
  <c r="H1188" i="20"/>
  <c r="I1188" i="20" s="1"/>
  <c r="H680" i="20"/>
  <c r="I680" i="20" s="1"/>
  <c r="H225" i="20"/>
  <c r="I225" i="20" s="1"/>
  <c r="H1120" i="20"/>
  <c r="I1120" i="20" s="1"/>
  <c r="H1944" i="20"/>
  <c r="I1944" i="20" s="1"/>
  <c r="H679" i="20"/>
  <c r="I679" i="20" s="1"/>
  <c r="H1094" i="20"/>
  <c r="I1094" i="20" s="1"/>
  <c r="H918" i="20"/>
  <c r="I918" i="20" s="1"/>
  <c r="H1361" i="20"/>
  <c r="H1378" i="20"/>
  <c r="I1378" i="20" s="1"/>
  <c r="H1202" i="20"/>
  <c r="I1202" i="20" s="1"/>
  <c r="H1507" i="20"/>
  <c r="I1507" i="20" s="1"/>
  <c r="H378" i="20"/>
  <c r="I378" i="20" s="1"/>
  <c r="H1766" i="20"/>
  <c r="I1766" i="20" s="1"/>
  <c r="H825" i="20"/>
  <c r="I825" i="20" s="1"/>
  <c r="H604" i="20"/>
  <c r="I604" i="20" s="1"/>
  <c r="H1222" i="20"/>
  <c r="I1222" i="20" s="1"/>
  <c r="H299" i="20"/>
  <c r="I299" i="20" s="1"/>
  <c r="H599" i="20"/>
  <c r="I599" i="20" s="1"/>
  <c r="H249" i="20"/>
  <c r="I249" i="20" s="1"/>
  <c r="H1024" i="20"/>
  <c r="I1024" i="20" s="1"/>
  <c r="H1028" i="20"/>
  <c r="I1028" i="20" s="1"/>
  <c r="H2008" i="20"/>
  <c r="I2008" i="20" s="1"/>
  <c r="H1310" i="20"/>
  <c r="I1310" i="20" s="1"/>
  <c r="H290" i="20"/>
  <c r="I290" i="20" s="1"/>
  <c r="H1686" i="20"/>
  <c r="I1686" i="20" s="1"/>
  <c r="H954" i="20"/>
  <c r="I954" i="20" s="1"/>
  <c r="H670" i="20"/>
  <c r="I670" i="20" s="1"/>
  <c r="G1061" i="20"/>
  <c r="G611" i="20"/>
  <c r="G1421" i="20"/>
  <c r="G701" i="20"/>
  <c r="G161" i="20"/>
  <c r="G1871" i="20"/>
  <c r="G881" i="20"/>
  <c r="G1781" i="20"/>
  <c r="G1511" i="20"/>
  <c r="G251" i="20"/>
  <c r="I821" i="20" l="1"/>
  <c r="H881" i="20"/>
  <c r="I1372" i="20"/>
  <c r="N1349" i="20"/>
  <c r="N1350" i="20" s="1"/>
  <c r="I551" i="20"/>
  <c r="H611" i="20"/>
  <c r="I641" i="20"/>
  <c r="H701" i="20"/>
  <c r="H1331" i="20"/>
  <c r="I1271" i="20"/>
  <c r="I833" i="20"/>
  <c r="N809" i="20"/>
  <c r="N810" i="20" s="1"/>
  <c r="N539" i="20"/>
  <c r="N540" i="20" s="1"/>
  <c r="I564" i="20"/>
  <c r="I206" i="20"/>
  <c r="N179" i="20"/>
  <c r="N180" i="20" s="1"/>
  <c r="I1103" i="20"/>
  <c r="N1079" i="20"/>
  <c r="N1080" i="20" s="1"/>
  <c r="I1822" i="20"/>
  <c r="N1799" i="20"/>
  <c r="N1800" i="20" s="1"/>
  <c r="I191" i="20"/>
  <c r="H251" i="20"/>
  <c r="N1978" i="20"/>
  <c r="N1979" i="20" s="1"/>
  <c r="I1997" i="20"/>
  <c r="N899" i="20"/>
  <c r="N900" i="20" s="1"/>
  <c r="I923" i="20"/>
  <c r="H341" i="20"/>
  <c r="I281" i="20"/>
  <c r="N359" i="20"/>
  <c r="N360" i="20" s="1"/>
  <c r="I384" i="20"/>
  <c r="N1709" i="20"/>
  <c r="N1710" i="20" s="1"/>
  <c r="I1732" i="20"/>
  <c r="I743" i="20"/>
  <c r="N719" i="20"/>
  <c r="N720" i="20" s="1"/>
  <c r="I1631" i="20"/>
  <c r="H1691" i="20"/>
  <c r="H521" i="20"/>
  <c r="I461" i="20"/>
  <c r="I101" i="20"/>
  <c r="H161" i="20"/>
  <c r="N1619" i="20"/>
  <c r="N1620" i="20" s="1"/>
  <c r="I1642" i="20"/>
  <c r="I294" i="20"/>
  <c r="N269" i="20"/>
  <c r="N270" i="20" s="1"/>
  <c r="N989" i="20"/>
  <c r="N990" i="20" s="1"/>
  <c r="I1014" i="20"/>
  <c r="H2050" i="20"/>
  <c r="I1990" i="20"/>
  <c r="H1961" i="20"/>
  <c r="I1901" i="20"/>
  <c r="N1889" i="20"/>
  <c r="N1890" i="20" s="1"/>
  <c r="I1910" i="20"/>
  <c r="I1001" i="20"/>
  <c r="H1061" i="20"/>
  <c r="H1151" i="20"/>
  <c r="I1091" i="20"/>
  <c r="N629" i="20"/>
  <c r="N630" i="20" s="1"/>
  <c r="I652" i="20"/>
  <c r="I1541" i="20"/>
  <c r="I1601" i="20" s="1"/>
  <c r="H1601" i="20"/>
  <c r="I1451" i="20"/>
  <c r="H1511" i="20"/>
  <c r="I1462" i="20"/>
  <c r="N1439" i="20"/>
  <c r="N1440" i="20" s="1"/>
  <c r="I1281" i="20"/>
  <c r="N1259" i="20"/>
  <c r="N1260" i="20" s="1"/>
  <c r="I1361" i="20"/>
  <c r="H1421" i="20"/>
  <c r="I1193" i="20"/>
  <c r="N1169" i="20"/>
  <c r="N1170" i="20" s="1"/>
  <c r="I474" i="20"/>
  <c r="N449" i="20"/>
  <c r="N450" i="20" s="1"/>
  <c r="I911" i="20"/>
  <c r="H971" i="20"/>
  <c r="H1241" i="20"/>
  <c r="I1181" i="20"/>
  <c r="H791" i="20"/>
  <c r="I731" i="20"/>
  <c r="I115" i="20"/>
  <c r="N89" i="20"/>
  <c r="I1811" i="20"/>
  <c r="H1871" i="20"/>
  <c r="I1721" i="20"/>
  <c r="H1781" i="20"/>
  <c r="H431" i="20"/>
  <c r="I371" i="20"/>
  <c r="I431" i="20" s="1"/>
  <c r="I791" i="20" l="1"/>
  <c r="I521" i="20"/>
  <c r="I251" i="20"/>
  <c r="I1421" i="20"/>
  <c r="I1151" i="20"/>
  <c r="I341" i="20"/>
  <c r="I1781" i="20"/>
  <c r="I1871" i="20"/>
  <c r="I1061" i="20"/>
  <c r="I1961" i="20"/>
  <c r="I2050" i="20"/>
  <c r="I161" i="20"/>
  <c r="I1331" i="20"/>
  <c r="N90" i="20"/>
  <c r="N26" i="20"/>
  <c r="O26" i="20" s="1"/>
  <c r="L36" i="2" s="1"/>
  <c r="I1691" i="20"/>
  <c r="I701" i="20"/>
  <c r="I1511" i="20"/>
  <c r="I611" i="20"/>
  <c r="I971" i="20"/>
  <c r="I1241" i="20"/>
  <c r="I88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33" authorId="0" shapeId="0" xr:uid="{A2B3E19F-35D9-4677-8FD9-8B031B0C758D}">
      <text>
        <r>
          <rPr>
            <b/>
            <sz val="9"/>
            <color indexed="81"/>
            <rFont val="Tahoma"/>
            <family val="2"/>
          </rPr>
          <t>From Ryan Strom email</t>
        </r>
        <r>
          <rPr>
            <sz val="9"/>
            <color indexed="81"/>
            <rFont val="Tahoma"/>
            <family val="2"/>
          </rPr>
          <t xml:space="preserve">
</t>
        </r>
      </text>
    </comment>
  </commentList>
</comments>
</file>

<file path=xl/sharedStrings.xml><?xml version="1.0" encoding="utf-8"?>
<sst xmlns="http://schemas.openxmlformats.org/spreadsheetml/2006/main" count="2890" uniqueCount="1007">
  <si>
    <t>Other Adjustments</t>
  </si>
  <si>
    <t xml:space="preserve">           Acct. 928 - Transmission Specific</t>
  </si>
  <si>
    <t>FERC FORM 1</t>
  </si>
  <si>
    <t>Tie-Back</t>
  </si>
  <si>
    <t>FERC FORM 1 Reference</t>
  </si>
  <si>
    <t xml:space="preserve">NOTE 1: The detail of each total company number and its source in the FERC Form 1 is shown on WS H-1. </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</si>
  <si>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</si>
  <si>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</si>
  <si>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</si>
  <si>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</si>
  <si>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</si>
  <si>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</si>
  <si>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r>
      <t>Accounts  4470004 &amp; 5, Revenues from Grandfathered Transmission Contracts</t>
    </r>
    <r>
      <rPr>
        <b/>
        <sz val="10"/>
        <rFont val="Arial"/>
        <family val="2"/>
      </rPr>
      <t xml:space="preserve"> - (Company Records - Note 1)</t>
    </r>
  </si>
  <si>
    <t xml:space="preserve">**  This is the total amount that needs to be reported to PJM for billing to all regions. </t>
  </si>
  <si>
    <r>
      <t xml:space="preserve">## </t>
    </r>
    <r>
      <rPr>
        <b/>
        <sz val="10"/>
        <rFont val="Arial"/>
        <family val="2"/>
      </rPr>
      <t>This is the calculation of  additional incentive revenue on projects deemed by the FERC to be eligible for an incentive return.  This</t>
    </r>
  </si>
  <si>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</si>
  <si>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</si>
  <si>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Senior Unsecured Notes (112.21.c&amp;d) Excludes Spent Nuc Fuel Disp Fund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</si>
  <si>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</si>
  <si>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</si>
  <si>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</si>
  <si>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</si>
  <si>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</si>
  <si>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LT Advances from Assoc. Companies  (112.20.c&amp;d)</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</si>
  <si>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</si>
  <si>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</si>
  <si>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</si>
  <si>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</si>
  <si>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</si>
  <si>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</si>
  <si>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The total-company balances shown for Accounts 281, 282, 283, 190 only reflect ADIT that relates to utility operations. The balance of Account 255 is reduced by prior flow</t>
  </si>
  <si>
    <t>N</t>
  </si>
  <si>
    <t xml:space="preserve">  Customer Related Expense</t>
  </si>
  <si>
    <t>PLANT</t>
  </si>
  <si>
    <t>ACCT.</t>
  </si>
  <si>
    <t>RATES</t>
  </si>
  <si>
    <t xml:space="preserve"> TRANSMISSION PLANT</t>
  </si>
  <si>
    <t>Composite Depreciation (Ln 3 / Ln 4)</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</si>
  <si>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</si>
  <si>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</si>
  <si>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</si>
  <si>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</si>
  <si>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</si>
  <si>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</si>
  <si>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</si>
  <si>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</si>
  <si>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</si>
  <si>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</si>
  <si>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</si>
  <si>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</si>
  <si>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R =</t>
  </si>
  <si>
    <t>PROJECTED YEAR</t>
  </si>
  <si>
    <t xml:space="preserve">   R   (fom A. above)</t>
  </si>
  <si>
    <t xml:space="preserve">   Return (Rate Base  x  R)</t>
  </si>
  <si>
    <t xml:space="preserve">   Return   (from B. above)</t>
  </si>
  <si>
    <t xml:space="preserve">   Income Tax Calculation  (Return  x  CIT)</t>
  </si>
  <si>
    <t xml:space="preserve">   Income Taxes</t>
  </si>
  <si>
    <r>
      <t>NOTE:  The balance of fair value hedges on outstanding long term debt are to be excluded from the balance of long term debt included in the formula's capital structure. (</t>
    </r>
    <r>
      <rPr>
        <sz val="10"/>
        <color indexed="17"/>
        <rFont val="Arial"/>
        <family val="2"/>
      </rPr>
      <t>p. 257,</t>
    </r>
    <r>
      <rPr>
        <sz val="10"/>
        <rFont val="Arial"/>
        <family val="2"/>
      </rPr>
      <t xml:space="preserve"> Column H of the FF1)</t>
    </r>
  </si>
  <si>
    <r>
      <t>NOTE:  The balance of fair value hedges on outstanding long term debt are to be excluded from the balance of long term debt included in the formula's capital structure. (</t>
    </r>
    <r>
      <rPr>
        <sz val="10"/>
        <color indexed="17"/>
        <rFont val="Arial"/>
        <family val="2"/>
      </rPr>
      <t xml:space="preserve">p. 257, </t>
    </r>
    <r>
      <rPr>
        <sz val="10"/>
        <rFont val="Arial"/>
        <family val="2"/>
      </rPr>
      <t>Column H of the FF1)</t>
    </r>
  </si>
  <si>
    <t>Total Long Term Debt Balance</t>
  </si>
  <si>
    <t>LTD Interest Expense</t>
  </si>
  <si>
    <t>ACTUAL WEIGHTED AVG COST OF CAPITAL</t>
  </si>
  <si>
    <t xml:space="preserve">   Income Taxes  (from I.C. above)</t>
  </si>
  <si>
    <t>Calculation of Composite Depreciation Rate</t>
  </si>
  <si>
    <t>Composite Depreciation Rate</t>
  </si>
  <si>
    <t>Depreciable Life for Composite Depreciation Rate</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</si>
  <si>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</si>
  <si>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</si>
  <si>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</si>
  <si>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</si>
  <si>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</si>
  <si>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</si>
  <si>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</si>
  <si>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</si>
  <si>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</si>
  <si>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</si>
  <si>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</si>
  <si>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</si>
  <si>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</si>
  <si>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</si>
  <si>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</si>
  <si>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</si>
  <si>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</si>
  <si>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</si>
  <si>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</si>
  <si>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</si>
  <si>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</si>
  <si>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</si>
  <si>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</si>
  <si>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</si>
  <si>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</si>
  <si>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</si>
  <si>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</si>
  <si>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</si>
  <si>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</si>
  <si>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</si>
  <si>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</si>
  <si>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</si>
  <si>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</si>
  <si>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</si>
  <si>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The company will not include the ADIT portion of deferred hedge gains and losses in rate base.</t>
  </si>
  <si>
    <t xml:space="preserve">  Prepayments (Account 165) - Transmission Only</t>
  </si>
  <si>
    <t>Account</t>
  </si>
  <si>
    <t>Gross Receipts Tax</t>
  </si>
  <si>
    <t>Federal Excise Tax</t>
  </si>
  <si>
    <t xml:space="preserve">________ Tax Rate </t>
  </si>
  <si>
    <t>Property</t>
  </si>
  <si>
    <t>Non-Allocable</t>
  </si>
  <si>
    <t xml:space="preserve"> Total Taxes by Allocable Basis</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</si>
  <si>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</si>
  <si>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</si>
  <si>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</si>
  <si>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</si>
  <si>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</si>
  <si>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</si>
  <si>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</si>
  <si>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</si>
  <si>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</si>
  <si>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</si>
  <si>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</si>
  <si>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</si>
  <si>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</si>
  <si>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</si>
  <si>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</si>
  <si>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</si>
  <si>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</si>
  <si>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</si>
  <si>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</si>
  <si>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</si>
  <si>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</si>
  <si>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</si>
  <si>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</si>
  <si>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</si>
  <si>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</si>
  <si>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</si>
  <si>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</si>
  <si>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</si>
  <si>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</si>
  <si>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</si>
  <si>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</si>
  <si>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</si>
  <si>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</si>
  <si>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</si>
  <si>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</si>
  <si>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</si>
  <si>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</si>
  <si>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</si>
  <si>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</si>
  <si>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</si>
  <si>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Actual (Uncapped) Capital Structure</t>
  </si>
  <si>
    <t>Expenses reported for these A&amp;G accounts will be included in the cost of service only to the extent they are directly assignable to transmission service. Worksheet F allocates</t>
  </si>
  <si>
    <t>RTEP Rev. Req't.</t>
  </si>
  <si>
    <t xml:space="preserve">          TEMPLATE BELOW TO MAINTAIN HISTORY OF PROJECTED ARRS OVER THE </t>
  </si>
  <si>
    <t>RTEP Projected Rev. Req't.From Prior Year WS J</t>
  </si>
  <si>
    <t>been removed from ratebase. Transmission ADIT allocations are shown on WS B.</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</si>
  <si>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</si>
  <si>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</si>
  <si>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</si>
  <si>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</si>
  <si>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</si>
  <si>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</si>
  <si>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</si>
  <si>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</si>
  <si>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</si>
  <si>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</si>
  <si>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</si>
  <si>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</si>
  <si>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</si>
  <si>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</si>
  <si>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</si>
  <si>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General Plant ARO (Enter Negative) </t>
  </si>
  <si>
    <t xml:space="preserve">  Less: Transmission ARO (Enter Negative) </t>
  </si>
  <si>
    <t>FF1, page 219, ln 25, Col. (b)</t>
  </si>
  <si>
    <t>(Total Company Amount Ties to FFI p.114, Ln 14,(c))</t>
  </si>
  <si>
    <t>561.1 - Load Dispatch - Reliability</t>
  </si>
  <si>
    <t>561.2 - Load Dispatch - Monitor &amp; Operate Trans System</t>
  </si>
  <si>
    <t>561.3 - Load Dispatch - Trans Service &amp; Scheduling</t>
  </si>
  <si>
    <t>FF1 p 321.85.b</t>
  </si>
  <si>
    <t>FF1 p 321.86.b</t>
  </si>
  <si>
    <t>FF1 p 321.87.b</t>
  </si>
  <si>
    <t>FF1 p 321.88.b</t>
  </si>
  <si>
    <t>FF1 p 321.89.b</t>
  </si>
  <si>
    <t>FF1 p 321.90.b</t>
  </si>
  <si>
    <t>FF1 p 321.91.b</t>
  </si>
  <si>
    <t>561.4 - Scheduling, System Control &amp; Dispatch</t>
  </si>
  <si>
    <t>FF1 p 321.92.b</t>
  </si>
  <si>
    <t>Total of Account 561</t>
  </si>
  <si>
    <t>561.5 -  Reliability, Planning and Standards Development</t>
  </si>
  <si>
    <t>561.6 - Transmission Service Studies</t>
  </si>
  <si>
    <t>561.7 - Generation Interconnection Studies</t>
  </si>
  <si>
    <t>561.8 -  Reliability, Planning and Standards Development Services</t>
  </si>
  <si>
    <t>Detail of Account 561 Per FERC Form 1</t>
  </si>
  <si>
    <t>Apportionment Factors are determined as part of the Company's annual tax return for that jurisdiction.</t>
  </si>
  <si>
    <t>T</t>
  </si>
  <si>
    <t>Total O&amp;M Allocable to Transmission</t>
  </si>
  <si>
    <t>Transmission Cost of Service Formula Rate</t>
  </si>
  <si>
    <t xml:space="preserve"> O &amp; M EXPENSE SUBTOTAL</t>
  </si>
  <si>
    <t>321.112.b</t>
  </si>
  <si>
    <t>322.131.b</t>
  </si>
  <si>
    <t>323.185.b</t>
  </si>
  <si>
    <t>336.7.f</t>
  </si>
  <si>
    <t>336.10.f</t>
  </si>
  <si>
    <t>336.1.f</t>
  </si>
  <si>
    <t>(Note N)</t>
  </si>
  <si>
    <t xml:space="preserve"> (Note O)</t>
  </si>
  <si>
    <t xml:space="preserve">       and FIT, SIT &amp; p are as given in Note O.</t>
  </si>
  <si>
    <t>354.24,25,26.b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</si>
  <si>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</si>
  <si>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</si>
  <si>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</si>
  <si>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</si>
  <si>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</si>
  <si>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</si>
  <si>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State Business &amp; Occupation Tax</t>
  </si>
  <si>
    <t>State Severance Taxes</t>
  </si>
  <si>
    <t>AEP OPERATING COMPANIES' COMPOSITE (Note S)</t>
  </si>
  <si>
    <t xml:space="preserve">Worksheet  - P </t>
  </si>
  <si>
    <t>DEPRECIATION RATES</t>
  </si>
  <si>
    <t>FOR TRANSMISSION PLANT PROPERTY ACCOUNTS</t>
  </si>
  <si>
    <t>Amortization Period</t>
  </si>
  <si>
    <t>HEDGE AMOUNTS BY ISSUANCE (FROM p. 256-257 (i) of the FERC Form 1)</t>
  </si>
  <si>
    <t>Remaining Unamortized Balance</t>
  </si>
  <si>
    <t>Average (Ln 1+ Ln 2)/2</t>
  </si>
  <si>
    <t>FF1, page 207 Col.(g) &amp; pg. 206 Col. (b), ln 58</t>
  </si>
  <si>
    <t>FF1, page 207 Col.(g) &amp; pg. 206 Col. (b), ln 57</t>
  </si>
  <si>
    <t>FF1, page 207 Col.(g) &amp; pg. 206 Col. (b), ln 99</t>
  </si>
  <si>
    <t>FF1, page 207 Col.(g) &amp; pg. 206 Col. (b), ln 98</t>
  </si>
  <si>
    <t>FF1, page 205 Col.(g) &amp; pg. 204 Col. (b), ln 5</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</si>
  <si>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</si>
  <si>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</si>
  <si>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</si>
  <si>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</si>
  <si>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</si>
  <si>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</si>
  <si>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</si>
  <si>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</si>
  <si>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</si>
  <si>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</si>
  <si>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</si>
  <si>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</si>
  <si>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Relative Valuation Factor</t>
  </si>
  <si>
    <t>Taxable Property Basis</t>
  </si>
  <si>
    <t>Functional Property Tax Allocation</t>
  </si>
  <si>
    <t>Real and Personal Property - Other Jurisdictions</t>
  </si>
  <si>
    <t>REVENUE REQUIREMENT For All Company Facilities</t>
  </si>
  <si>
    <t>Net (Gain)/Loss Hedge Amortization To Be Removed</t>
  </si>
  <si>
    <t xml:space="preserve"> Worksheet H page 2 Form 1 Source Reference of Company Amounts on WS H</t>
  </si>
  <si>
    <t xml:space="preserve"> Worksheet H page 1 Supporting Taxes Other than Income</t>
  </si>
  <si>
    <t>Worksheet Q Page 1</t>
  </si>
  <si>
    <t>Worksheet Q Page 2</t>
  </si>
  <si>
    <t>Worksheet Q Page 3</t>
  </si>
  <si>
    <t>Interest Expense (Company Records - Note 1)</t>
  </si>
  <si>
    <t xml:space="preserve">ITC Balances Includeable in Ratebase </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</si>
  <si>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</si>
  <si>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</si>
  <si>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</si>
  <si>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</si>
  <si>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</si>
  <si>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 xml:space="preserve">NOTE 2 </t>
  </si>
  <si>
    <t xml:space="preserve">ADIT balances should exclude balances related to hedging activity. </t>
  </si>
  <si>
    <t>Annual Tax Expenses by Type (Note 1)</t>
  </si>
  <si>
    <t>FF1, p. 266-267, ln 8, Col. (h)</t>
  </si>
  <si>
    <t xml:space="preserve"> Worksheet B Supporting ADIT and ITC Balances</t>
  </si>
  <si>
    <t>additional incentive requirement is applicable for the life of this specific project.  Each year the revenue requirement calculated for PJM</t>
  </si>
  <si>
    <t>Capital Structure Percentages</t>
  </si>
  <si>
    <t>FERC</t>
  </si>
  <si>
    <t>Revenue credits include:</t>
  </si>
  <si>
    <t>3) Rental revenues earned on assets included in the rate base.</t>
  </si>
  <si>
    <t>4) Revenues for associated business projects provided by employees whose labor and overhead costs are in the transmission cost of service.</t>
  </si>
  <si>
    <t xml:space="preserve">these expense items. Acct 928 Includes Regulatory Commission expenses itemized in FERC Form-1 at page 351, column H.  FERC Assessment Fees and Annual Charges </t>
  </si>
  <si>
    <t xml:space="preserve">shall not be allocated to transmission.  Only safety-related and educational advertising costs in Account 930.1 are included in the TCOS. Account 930.2 includes the </t>
  </si>
  <si>
    <t>expenses incurred by the transmission function for Associated Business Development revenues given as a credit to the TCOS on Worksheet E.</t>
  </si>
  <si>
    <t xml:space="preserve">     Plus: Transmission Lease Payments To Affiliates in Acct 565 (Company Records) (Note H)</t>
  </si>
  <si>
    <t>See Worksheet E for details.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</si>
  <si>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</si>
  <si>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</si>
  <si>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</si>
  <si>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</si>
  <si>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 xml:space="preserve"> Worksheet F Supporting Allocation of Specific O&amp;M or  A&amp;G Expenses</t>
  </si>
  <si>
    <t>throughs and is completely excluded if the utility chose to utilize amortization of tax credits against FIT expense. An exception to this is pre-1971 ITC balances, which are</t>
  </si>
  <si>
    <t>T =  Transmission</t>
  </si>
  <si>
    <t>G = General</t>
  </si>
  <si>
    <t>(Gain) / Loss</t>
  </si>
  <si>
    <t>Worksheet C Supporting Working Capital Rate Base Adjustments</t>
  </si>
  <si>
    <t>Regulatory O&amp;M Deferrals &amp; Amortizations</t>
  </si>
  <si>
    <t>required to be taken as an offset to rate base. Account 281 is not allocated.  In compliance with FERC Rulemaking RM02-7-000, Asset Retirement Obligation deferrals have</t>
  </si>
  <si>
    <t>(Note E)</t>
  </si>
  <si>
    <t>Note 1</t>
  </si>
  <si>
    <t>(I)</t>
  </si>
  <si>
    <t xml:space="preserve">Average of </t>
  </si>
  <si>
    <t>Balances</t>
  </si>
  <si>
    <t xml:space="preserve">Subtotal - Form 1, p 111.57.c  </t>
  </si>
  <si>
    <t>(FF1 p.114, ln 19.c)</t>
  </si>
  <si>
    <t xml:space="preserve">  (State Income Tax Rate or Composite SIT.  Worksheet G))</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</si>
  <si>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</si>
  <si>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</si>
  <si>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</si>
  <si>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</si>
  <si>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</si>
  <si>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</si>
  <si>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</si>
  <si>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</si>
  <si>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</si>
  <si>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</si>
  <si>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</si>
  <si>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</si>
  <si>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</si>
  <si>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</si>
  <si>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</si>
  <si>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</si>
  <si>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</si>
  <si>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</si>
  <si>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 xml:space="preserve"> Line Deliberately Left Blank</t>
  </si>
  <si>
    <t xml:space="preserve"> Lines 24-58 Column (B) Deliberately Left Blank</t>
  </si>
  <si>
    <t xml:space="preserve"> Lines 24-58 Column (D) Deliberately Left Blank</t>
  </si>
  <si>
    <t>Line Left Deliberately Blank</t>
  </si>
  <si>
    <t>Transmission Materials &amp; Supplies</t>
  </si>
  <si>
    <t>General Materials &amp; Supplies</t>
  </si>
  <si>
    <t xml:space="preserve">  Stores Expense </t>
  </si>
  <si>
    <t>Excludable</t>
  </si>
  <si>
    <t>Source of Data</t>
  </si>
  <si>
    <t>AEPTCo subsidiaries in PJM</t>
  </si>
  <si>
    <t>Plant Held For Future Use</t>
  </si>
  <si>
    <t>( C )</t>
  </si>
  <si>
    <t>General Notes:  a)  References to data from Worksheets are indicated as:  Worksheet X, Line#.Column.X</t>
  </si>
  <si>
    <t>NOTE 1</t>
  </si>
  <si>
    <t>Company Records - Note 1</t>
  </si>
  <si>
    <t>Subtotal - Other Operating Revenues (Company Total equals (FF1 p. 300.26.(b))</t>
  </si>
  <si>
    <t xml:space="preserve"> Worksheet G Supporting - Development of Composite State Income Tax Rate</t>
  </si>
  <si>
    <t>Revenue Credits to Generators (Company Records - Note 1)</t>
  </si>
  <si>
    <t>Accounting Adjustment  (Company Records - Note 1)</t>
  </si>
  <si>
    <t>Average Balance of Common Equity</t>
  </si>
  <si>
    <t>Development of Cost of  Long Term Debt Based on Average Outstanding Balance</t>
  </si>
  <si>
    <t>Amort of Debt Discount &amp; Expense (117.63.c)</t>
  </si>
  <si>
    <t>Amort of Loss on Reacquired Debt (117.64.c)</t>
  </si>
  <si>
    <t>Less: Amort of Premium on Debt (117.65.c)</t>
  </si>
  <si>
    <t>Less: Amort of Gain on Reacquired Debt (117.66.c)</t>
  </si>
  <si>
    <t>Development of Cost of Preferred Stock</t>
  </si>
  <si>
    <t>Bonds (112.18.c&amp;d)</t>
  </si>
  <si>
    <t>Less: Reacquired Bonds (112.19.c&amp;d)</t>
  </si>
  <si>
    <t>Interest on Long Term Debt (256-257.33.i)</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</si>
  <si>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</si>
  <si>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</si>
  <si>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</si>
  <si>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</si>
  <si>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</si>
  <si>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</si>
  <si>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</si>
  <si>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</si>
  <si>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</si>
  <si>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</si>
  <si>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</si>
  <si>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</si>
  <si>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</si>
  <si>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</si>
  <si>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Non-</t>
  </si>
  <si>
    <t xml:space="preserve">IPP CONTRIBUTIONS FOR CONSTRUCTION  </t>
  </si>
  <si>
    <t>TAXES OTHER THAN INCOME</t>
  </si>
  <si>
    <t>TOTAL OTHER TAXES</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</si>
  <si>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</si>
  <si>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</si>
  <si>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</si>
  <si>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</si>
  <si>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</si>
  <si>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</si>
  <si>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</si>
  <si>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</si>
  <si>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</si>
  <si>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</si>
  <si>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</si>
  <si>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</si>
  <si>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</si>
  <si>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</si>
  <si>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</si>
  <si>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</si>
  <si>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</si>
  <si>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</si>
  <si>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</si>
  <si>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</si>
  <si>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</si>
  <si>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</si>
  <si>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</si>
  <si>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</si>
  <si>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</si>
  <si>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</si>
  <si>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</si>
  <si>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</si>
  <si>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</si>
  <si>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</si>
  <si>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</si>
  <si>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</si>
  <si>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</si>
  <si>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</si>
  <si>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</si>
  <si>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</si>
  <si>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</si>
  <si>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</si>
  <si>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</si>
  <si>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Michigan Single Business Tax</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</si>
  <si>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</si>
  <si>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</si>
  <si>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</si>
  <si>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</si>
  <si>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</si>
  <si>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</si>
  <si>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</si>
  <si>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</si>
  <si>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</si>
  <si>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</si>
  <si>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</si>
  <si>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</si>
  <si>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</si>
  <si>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</si>
  <si>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</si>
  <si>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</si>
  <si>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</si>
  <si>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</si>
  <si>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</si>
  <si>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NA</t>
  </si>
  <si>
    <t xml:space="preserve">  Transmission</t>
  </si>
  <si>
    <t>DA</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</si>
  <si>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</si>
  <si>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</si>
  <si>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</si>
  <si>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</si>
  <si>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</si>
  <si>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</si>
  <si>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</si>
  <si>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</si>
  <si>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</si>
  <si>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</si>
  <si>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</si>
  <si>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</si>
  <si>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</si>
  <si>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</si>
  <si>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</si>
  <si>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</si>
  <si>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</si>
  <si>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</si>
  <si>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</si>
  <si>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</si>
  <si>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</si>
  <si>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</si>
  <si>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</si>
  <si>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</si>
  <si>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</si>
  <si>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</si>
  <si>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</si>
  <si>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</si>
  <si>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</si>
  <si>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</si>
  <si>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</si>
  <si>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</si>
  <si>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</si>
  <si>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</si>
  <si>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</si>
  <si>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</si>
  <si>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</si>
  <si>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</si>
  <si>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</si>
  <si>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</si>
  <si>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</si>
  <si>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</si>
  <si>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</si>
  <si>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</si>
  <si>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</si>
  <si>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</si>
  <si>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</si>
  <si>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</si>
  <si>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</si>
  <si>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</si>
  <si>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</si>
  <si>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</si>
  <si>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</si>
  <si>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</si>
  <si>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</si>
  <si>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</si>
  <si>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</si>
  <si>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</si>
  <si>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</si>
  <si>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</si>
  <si>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</si>
  <si>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</si>
  <si>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</si>
  <si>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</si>
  <si>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</si>
  <si>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</si>
  <si>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</si>
  <si>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</si>
  <si>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</si>
  <si>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</si>
  <si>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</si>
  <si>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</si>
  <si>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</si>
  <si>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</si>
  <si>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</si>
  <si>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</si>
  <si>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</si>
  <si>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</si>
  <si>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</si>
  <si>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</si>
  <si>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</si>
  <si>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</si>
  <si>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</si>
  <si>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</si>
  <si>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AEP East Consolidated Utility Capital Structure</t>
  </si>
  <si>
    <t>Appalachian Power Company</t>
  </si>
  <si>
    <t>Indiana Michigan Power Company</t>
  </si>
  <si>
    <t>Kentucky Power Company</t>
  </si>
  <si>
    <t>Kingsport Power Company</t>
  </si>
  <si>
    <t>Ohio Power Company</t>
  </si>
  <si>
    <t>Wheeling Power Company</t>
  </si>
  <si>
    <t>AEP East Operating Companies' Consolidated Capital Structure</t>
  </si>
  <si>
    <t>Development of Long Term Debt Balances at Year End</t>
  </si>
  <si>
    <t>Development of Long Term Debt Interest Expense</t>
  </si>
  <si>
    <t>Less: Hedge Interest on pp 256-257(i)</t>
  </si>
  <si>
    <t>Development of Cost of Preferred Stock and Preferred Dividends</t>
  </si>
  <si>
    <t>Dividend Rate (p. 250-251. 7.a)</t>
  </si>
  <si>
    <t>Par Value (p. 250-251. 8.c)</t>
  </si>
  <si>
    <t>Shares Outstanding (p.250-251. 8.e)</t>
  </si>
  <si>
    <t>Development of Common Equity</t>
  </si>
  <si>
    <t>Proprietary Capital (112.16.c)</t>
  </si>
  <si>
    <t>Less: Account 216.1 (112.12.c)</t>
  </si>
  <si>
    <t xml:space="preserve">Less: Account 219.1 (112.15.c) </t>
  </si>
  <si>
    <t>Balance of Common Equity</t>
  </si>
  <si>
    <t>Calculation of Capital Shares</t>
  </si>
  <si>
    <t>Total Company Structure</t>
  </si>
  <si>
    <t>Calculation of Capital Cost Rate</t>
  </si>
  <si>
    <t>Common Equity Capital Cost Rate</t>
  </si>
  <si>
    <t>Calculation of Weighted Capital Cost Rate</t>
  </si>
  <si>
    <t>Consolidation of Operating Companies' Average Capital Structure</t>
  </si>
  <si>
    <t>Development of Average Long Term Debt</t>
  </si>
  <si>
    <t>Average Balance of Long Term Debt</t>
  </si>
  <si>
    <t>Development of Average Common Equity</t>
  </si>
  <si>
    <t>Average of Total Company Structure</t>
  </si>
  <si>
    <t>T-Plant (FF1 206.58.b)</t>
  </si>
  <si>
    <t>T-Plant (FF1 206.58.g)</t>
  </si>
  <si>
    <t>TOTAL</t>
  </si>
  <si>
    <t>Depreciation (FF1 336.7.f)</t>
  </si>
  <si>
    <t>Removes plant excluded from the OATT because it does not meet the PJM's definition of Transmission Facilities or is otherwise ineligible to be recovered under the OATT.</t>
  </si>
  <si>
    <t>Less: Net Value  Exempted Generation Plant</t>
  </si>
  <si>
    <t>Less: Net Value of Exempted Generation Plant</t>
  </si>
  <si>
    <t xml:space="preserve">  Regional Market Expenses</t>
  </si>
  <si>
    <t>Worksheet D Supporting  IPP Credits</t>
  </si>
  <si>
    <t>(Note S)</t>
  </si>
  <si>
    <t>NOTE:  The balance of fair value hedges on outstanding long term debt are to be excluded from the balance of long term debt included in the formula's capital structure. (page 257, Column H of the FF1)</t>
  </si>
  <si>
    <t>For Twelve Months Ended</t>
  </si>
  <si>
    <t>Facility Credits under PJM OATT Section 30.9</t>
  </si>
  <si>
    <t xml:space="preserve"> Revenue Requirement for PJM Schedule 12 Facilities (w/o incentives)  (Worksheet J/K)</t>
  </si>
  <si>
    <t>ADDITIONAL REVENUE REQUIREMENT for projects w/ incentive ROE's (Note B) (Worksheet J/K)</t>
  </si>
  <si>
    <t>Excess Deferred Income Tax</t>
  </si>
  <si>
    <t>U</t>
  </si>
  <si>
    <t>Tax Affect of Permanent Differences</t>
  </si>
  <si>
    <t>RESERVED FOR FUTURE USE</t>
  </si>
  <si>
    <t>Reserved for Future Use</t>
  </si>
  <si>
    <t>Cost of Service Formula Rate Using Actual/Projected FF1 Balances</t>
  </si>
  <si>
    <t>Reserved</t>
  </si>
  <si>
    <t>True-up Adjustment - Over (Under) Recovery</t>
  </si>
  <si>
    <t>Over (Under) Recovery Plus Interest</t>
  </si>
  <si>
    <t>Average Monthly Interest Rate</t>
  </si>
  <si>
    <t>Months</t>
  </si>
  <si>
    <t>Calculated Interest</t>
  </si>
  <si>
    <t>Amortization</t>
  </si>
  <si>
    <t>Surcharge (Refund) Owed</t>
  </si>
  <si>
    <t>Calculation of Interest</t>
  </si>
  <si>
    <t>Monthly</t>
  </si>
  <si>
    <t>January</t>
  </si>
  <si>
    <t>February</t>
  </si>
  <si>
    <t>March</t>
  </si>
  <si>
    <t>April</t>
  </si>
  <si>
    <t>May</t>
  </si>
  <si>
    <t>June</t>
  </si>
  <si>
    <t>July</t>
  </si>
  <si>
    <t>August</t>
  </si>
  <si>
    <t>September</t>
  </si>
  <si>
    <t>October</t>
  </si>
  <si>
    <t>November</t>
  </si>
  <si>
    <t>December</t>
  </si>
  <si>
    <t>Annual</t>
  </si>
  <si>
    <t>January  through December</t>
  </si>
  <si>
    <t>Over (Under) Recovery Plus Interest Amortized and Recovered Over 12 Months</t>
  </si>
  <si>
    <t>True-Up Adjustment with Interest</t>
  </si>
  <si>
    <t>Less Over (Under) Recovery</t>
  </si>
  <si>
    <t>Total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</si>
  <si>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</si>
  <si>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R - True-up With Interest</t>
  </si>
  <si>
    <t>Includes only FICA, unemployment, highway, property and other assessments.  Gross receipts, sales &amp; use and taxes related to income are excluded.</t>
  </si>
  <si>
    <t xml:space="preserve"> Worksheet I RESERVED</t>
  </si>
  <si>
    <t>Average Life in Whole Years</t>
  </si>
  <si>
    <t xml:space="preserve"> Worksheet L RESERVED</t>
  </si>
  <si>
    <t xml:space="preserve">shall include all revenues associated with those directly assigned transmission facilities, irrespective of whether the loads </t>
  </si>
  <si>
    <t>assigned transmission facilities are not included in the transmission plant balances on which the formula rate ATRR is based.</t>
  </si>
  <si>
    <t>In compliance with FERC Rulemaking the calculation of ADIT in the annual projection will be performed in accordance</t>
  </si>
  <si>
    <t>with IRS regulation Section 1.167(I)-I(h)(6)(ii).  Detailed balances for the projected or actual period, distinguished between utility and non-utility</t>
  </si>
  <si>
    <t>balances, will be filed and posted as part of the informational filing.</t>
  </si>
  <si>
    <t xml:space="preserve">Removes the impact of state regulatory deferrals or their amortization from Transmission O&amp;M expense. </t>
  </si>
  <si>
    <t>The formula rate shall reflect the applicable state and federal statutory tax rates in effect during the period the calculated estimated unit charges are applicable.  If the statutory tax rates change during such period, the effective tax rates used in the formula shall be weighted by the number of days the pre-ochange rate and post-change rate each is in effect.</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</si>
  <si>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</si>
  <si>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</si>
  <si>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The formula rate shall allocate property tax expense based on the as filed net plant cost allocation method detailed on Worksheet H.</t>
  </si>
  <si>
    <t>W</t>
  </si>
  <si>
    <t>AEP Transmission Companies will record depreciation expense using composites of the depreciation rates shown on Worksheet P which rates will not be changed absent a Section 205 or 206 filing at FERC to seek a change in depreciation rates.  No other changes to the formula rate may be included in that filing.</t>
  </si>
  <si>
    <t>X</t>
  </si>
  <si>
    <t xml:space="preserve">7) If AEP Transmission Companies have any directly assigned transmission facilities, the revenue credits in the formula rate </t>
  </si>
  <si>
    <t>of the customer are included in the formula rate divisor; provided however, such addition to revenue credits shall not be reflected if the costs of such directly</t>
  </si>
  <si>
    <t>The annual and monthly net plant carrying charges on page 1 are used to compute the revenue requirement for RTEP sponsored upgrades or those projects receiving approved incentive-ROE's.  Interest will be calculated based on Worksheet R and any over under recovery will be filed and posted as part of the informational filing.</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</si>
  <si>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</si>
  <si>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Return and Taxes</t>
  </si>
  <si>
    <t>Real and Personal Property - Virginia</t>
  </si>
  <si>
    <t>Real and Personal Property - Tennessee</t>
  </si>
  <si>
    <t>____________ JURISDICTION</t>
  </si>
  <si>
    <t xml:space="preserve">Includes functional wages &amp; salaries billed by AEP Service Corporation  for support of the operating company. </t>
  </si>
  <si>
    <t>Apportionment Factor - Note 1</t>
  </si>
  <si>
    <t xml:space="preserve">Actual After True-up </t>
  </si>
  <si>
    <t xml:space="preserve">   Annual Revenue Requirement, Less Lease Payments, Return and Taxes</t>
  </si>
  <si>
    <t xml:space="preserve">Interest Rate on Amount of Refunds </t>
  </si>
  <si>
    <t>or Surcharges (Note 1)</t>
  </si>
  <si>
    <t>.</t>
  </si>
  <si>
    <t xml:space="preserve">Subtotal - Form 1, p 111.57.d  </t>
  </si>
  <si>
    <t>5a</t>
  </si>
  <si>
    <t>Account 457.1, Regional Control Service  Revenues (FF1 p.300.23.(b); Company Records - Note 1)</t>
  </si>
  <si>
    <t>5b</t>
  </si>
  <si>
    <t>Account 457.2, Miscellaneous Revenues (FF1p.300.24.(b); Company Records - Note 1)</t>
  </si>
  <si>
    <t>Note 2</t>
  </si>
  <si>
    <t>The total of line 4 and line 5 will equal total Account 456 as listed on FF1 p.300.21-22.(b)</t>
  </si>
  <si>
    <t>Total (FERC Form 1 p.323.189.b)</t>
  </si>
  <si>
    <t>Total (FERC Form 1 p.323.191.b)</t>
  </si>
  <si>
    <t>Total (FERC Form 1 p.323.192.b)</t>
  </si>
  <si>
    <t>Privileged and Confidential</t>
  </si>
  <si>
    <t>Subject to FERC Rules 602 and 606</t>
  </si>
  <si>
    <r>
      <t>GP</t>
    </r>
    <r>
      <rPr>
        <strike/>
        <sz val="12"/>
        <color indexed="10"/>
        <rFont val="Arial"/>
        <family val="2"/>
      </rPr>
      <t>(h)</t>
    </r>
  </si>
  <si>
    <t>UNFUNDED RESERVES (ENTER NEGATIVE) (NOTE Y)</t>
  </si>
  <si>
    <t>(Worksheet A ln 54.(e))</t>
  </si>
  <si>
    <t>Tax Effect of Permanent and Flow-Through Differences</t>
  </si>
  <si>
    <r>
      <t>NP</t>
    </r>
    <r>
      <rPr>
        <strike/>
        <sz val="12"/>
        <rFont val="Arial"/>
        <family val="2"/>
      </rPr>
      <t>(h)</t>
    </r>
  </si>
  <si>
    <t>Y</t>
  </si>
  <si>
    <t>The cost of service will make a rate base adjustment to remove unfunded reserves associated with contingent liabiliites recorded to Accounts 228.1-228.4 from rate base.</t>
  </si>
  <si>
    <t>SPECIFIED DEFERRED CREDITS - Actual Cycle Only</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</si>
  <si>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</si>
  <si>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</si>
  <si>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</si>
  <si>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</si>
  <si>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</si>
  <si>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</si>
  <si>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</si>
  <si>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</si>
  <si>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</si>
  <si>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</si>
  <si>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</si>
  <si>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</si>
  <si>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</si>
  <si>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</si>
  <si>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</si>
  <si>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</si>
  <si>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</si>
  <si>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</si>
  <si>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</si>
  <si>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</si>
  <si>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</si>
  <si>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</si>
  <si>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</si>
  <si>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</si>
  <si>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</si>
  <si>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</si>
  <si>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</si>
  <si>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</si>
  <si>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</si>
  <si>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</si>
  <si>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281 - ARO-Related Deferrals</t>
  </si>
  <si>
    <t>ACCOUNT 282:</t>
  </si>
  <si>
    <t>TOTAL ACOUNT 282</t>
  </si>
  <si>
    <t>ACCOUNT 282 - ARO-Related Deferals</t>
  </si>
  <si>
    <t>ACCOUNT 283:</t>
  </si>
  <si>
    <t>DEFD STATE INCOME TAXES</t>
  </si>
  <si>
    <t>TOTAL ACCOUNT 283</t>
  </si>
  <si>
    <t>ACCOUNT 283 - ARO-Related Deferals</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</si>
  <si>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</si>
  <si>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</si>
  <si>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</si>
  <si>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</si>
  <si>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</si>
  <si>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</si>
  <si>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ACCUMULATED DEFERRED INCOME TAX IN ACCOUNT 190 - Actual Cycle Only</t>
  </si>
  <si>
    <t>DEBIT  (CREDIT)</t>
  </si>
  <si>
    <t>ACCOUNT 190:</t>
  </si>
  <si>
    <t>TOTAL ACCOUNT 190</t>
  </si>
  <si>
    <t>ACCOUNT 190 - ARO-Related Deferals</t>
  </si>
  <si>
    <t>Note 1:</t>
  </si>
  <si>
    <t>Tax Year</t>
  </si>
  <si>
    <t>Total
Company</t>
  </si>
  <si>
    <t>FERC FORM 1
Tie-Back</t>
  </si>
  <si>
    <t>Tax Year Factor
(Note 2)</t>
  </si>
  <si>
    <t xml:space="preserve">"Real Estate and Personal Propety Tax Detail 
Annual Tax Expenses by Type (Note 1)"
</t>
  </si>
  <si>
    <t>Transmission Function
(Note 2)</t>
  </si>
  <si>
    <t xml:space="preserve">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  </t>
  </si>
  <si>
    <t xml:space="preserve"> Worksheet A Rate Base</t>
  </si>
  <si>
    <t>Gross Plant In Service</t>
  </si>
  <si>
    <t>Line 
No</t>
  </si>
  <si>
    <t>Month</t>
  </si>
  <si>
    <t>Transmission ARO</t>
  </si>
  <si>
    <t>General ARO</t>
  </si>
  <si>
    <t>Intangible</t>
  </si>
  <si>
    <t>(a)</t>
  </si>
  <si>
    <t>(d)</t>
  </si>
  <si>
    <t>(e)</t>
  </si>
  <si>
    <t>(Note A)</t>
  </si>
  <si>
    <t>December Prior to Rate Year</t>
  </si>
  <si>
    <t xml:space="preserve">March </t>
  </si>
  <si>
    <t xml:space="preserve">August </t>
  </si>
  <si>
    <t>December  of Rate Year</t>
  </si>
  <si>
    <t xml:space="preserve">Average of the 13 Monthly Balances </t>
  </si>
  <si>
    <t>Accumulated Depreciation</t>
  </si>
  <si>
    <t>Company Records</t>
  </si>
  <si>
    <t>OATT Ancillary Services (GSU) Plant In Service</t>
  </si>
  <si>
    <t>OATT Ancillary Services (GSU) Accumulated Depreciation</t>
  </si>
  <si>
    <t>Excluded Plant  - Plant In Service</t>
  </si>
  <si>
    <t>Excluded Plant  - Accumulated Depreciation</t>
  </si>
  <si>
    <t>(b)</t>
  </si>
  <si>
    <t>(c)</t>
  </si>
  <si>
    <t>Total Regulatory Deferrals Included in Ratebase</t>
  </si>
  <si>
    <t>Unfunded Reserves Summary (Company Records)</t>
  </si>
  <si>
    <t>53a</t>
  </si>
  <si>
    <t>53b</t>
  </si>
  <si>
    <t xml:space="preserve">NOTE 1: On this worksheet, "Company Records" refers to AEP's property accounting ledger. </t>
  </si>
  <si>
    <t>NOTE 2: The ratebase should not include the unamoritzed balance of hedging gains or losses.</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</si>
  <si>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</si>
  <si>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</si>
  <si>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</si>
  <si>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</si>
  <si>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</si>
  <si>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</si>
  <si>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</si>
  <si>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</si>
  <si>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</si>
  <si>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Bonds</t>
  </si>
  <si>
    <t>Less: Reacquired Bonds</t>
  </si>
  <si>
    <t>Less: Fair Value Hedges</t>
  </si>
  <si>
    <t>(f)</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</si>
  <si>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</si>
  <si>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</si>
  <si>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</si>
  <si>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</si>
  <si>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</si>
  <si>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</si>
  <si>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</si>
  <si>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(g)</t>
  </si>
  <si>
    <t>CALCULATION OF HEDGE GAINS/LOSSES TO BE EXCLUDED FROM TCOS</t>
  </si>
  <si>
    <t>Dividends on Preferred Stock (Acct 437, FF1 118.29))</t>
  </si>
  <si>
    <t>Gross Proceeds Outstanding Long-Term Debt</t>
  </si>
  <si>
    <t>Acct 223
LT Advances from Assoc. Companies</t>
  </si>
  <si>
    <t>Acct 224
Senior Unsecured Notes</t>
  </si>
  <si>
    <t>323.197.b (Notes J &amp; M)</t>
  </si>
  <si>
    <t>GP</t>
  </si>
  <si>
    <t xml:space="preserve"> (Note T)</t>
  </si>
  <si>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</si>
  <si>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On this worksheet, "Company Records" refers to AEP's tax forecast and accounting ledger.  The PTRR will use</t>
  </si>
  <si>
    <t>projected ending balances and reflect proration required by IRS Letter Rule Section I.I67(I)-I(h)(6)(ii).  Line item detail of actual deferred tax items will be included on Worksheets B-1 and B-2.</t>
  </si>
  <si>
    <t>Stores Expense (Undistributed) - Account 163</t>
  </si>
  <si>
    <t>Prepayment Balance Summary (Note 1)</t>
  </si>
  <si>
    <t>Account 4560015, Associated Business Development - (Company Records - Notes 1, 2)</t>
  </si>
  <si>
    <t>Account 456 - Other Electric Revenues - (Company Records - Notes 1,2)</t>
  </si>
  <si>
    <t>Note 1: The taxes assessed on each transmission company can differ from year to year and between transmission companies by both the type of taxes and the states in which they were assessed.  Therefore, for each company, the types and jurisdictions of tax expense recorded on this page could differ from the same page in the same company's prior year template or from this page in other transmission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</si>
  <si>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</si>
  <si>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</si>
  <si>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</si>
  <si>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</si>
  <si>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</si>
  <si>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</si>
  <si>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43)</t>
    </r>
  </si>
  <si>
    <t>Calculation of Post-employment Benefits Other than Pensions Expenses Allocable to Transmission Service</t>
  </si>
  <si>
    <t>Worksheet O - PBOP Support</t>
  </si>
  <si>
    <t>PBOP</t>
  </si>
  <si>
    <t>Calculation of PBOP Expenses</t>
  </si>
  <si>
    <t>AEP System PBOP Rate</t>
  </si>
  <si>
    <t xml:space="preserve">Total AEP System PBOP expenses </t>
  </si>
  <si>
    <t>Base Year relating to retired personnel</t>
  </si>
  <si>
    <t xml:space="preserve">Amount allocated on Labor </t>
  </si>
  <si>
    <t>Total AEP System Direct Labor Expense</t>
  </si>
  <si>
    <t>AEP System PBOP expense per dollar of direct labor (PBOP Rate)</t>
  </si>
  <si>
    <t>Currently Approved PBOP Rate</t>
  </si>
  <si>
    <t>Base PBOP TransCo labor expensed in current year</t>
  </si>
  <si>
    <t>Direct PBOP Expense per Actuarial Report</t>
  </si>
  <si>
    <t>Additional PBOP Ledger Entry (From Company Records)</t>
  </si>
  <si>
    <t>Medicare Credit</t>
  </si>
  <si>
    <t>PBOP Expenses From AEP Affiliates (From Company Records)</t>
  </si>
  <si>
    <t xml:space="preserve">Actual PBOP Expense </t>
  </si>
  <si>
    <t>PBOP Adjustment</t>
  </si>
  <si>
    <t>Note: PBOP Expense will be calculated in accordance with the settlement in Docket ER10-355.</t>
  </si>
  <si>
    <t>As part of the annual update process, AEP will provide to transmission customers and include in its informational filing an independently prepared actuarial report that includes a ten (10) year forecast of PBOP expenses.  During the annual update process conducted for rate year 2018 and every four years thereafter, Worksheet O will be used to determine whether the PBOP allowance rate ($PBOP per $Direct O&amp;M Labor) should be adjusted going forward for the next four years.  If the annual actuarial report issued during the year of any PBOP rate review projects PBOP costs during the next four years that, when allocated to the AEP Transmission Companies based on their projected direct labor expenses over that same projected four-year period, absent a change in the PBOP Rate, will likely cause the AEP East Transmission Companies to over or under collect their cumulative PBOP expenses by more than 20% of the projected next four year’s total PBOP expense, taking into account the net over or under collection of such expenses during the previous four years, the PBOP rate shall be adjusted.  In order to determine whether continued use of the then approved PBOP rate is likely to result in the AEP Companies’ incurrence of a cumulative allowance of PBOP costs under the formula rate will result in a cumulative over or under-recoery of actual PBOP expenses exceeding 20% over the subsequent four year period, Worksheet O will be used to determine (a) the level of cumulative over or under collections of PBOP expense during the time since the PBOP allowance rate was last set, including carrying costs based on the weighted average cost of capital each year from the formula rate actual transmission cost-of-service (b) the cumulative net present value of projected PBOP costs during the next four years as estimated by the then current actuarial report, assuming a discount rate equal to the actual transmission cost of service average cost of capital for the immediately prior calendar year and (c) the cumulative net present value of continued collections over the next four years based on the projected AEP Transmission Companies direct labor expenses and the then effective PBOP allowance rate assuming a discount rate equal to the prior year weighted average cost of capital.  If the absolute value of (a)+(b)-(c) exceeds 20% of (b), then the PBOP allowance rate used in the formula rate calculation shall be changed to the value that will cause the projected result of (a)+(b)-(c) to equal zero.  If the projected over or under collection during the next four years, (a)+(b)-(c), is less than 20% of (b), then the PBOP Rate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Rate  stated in the formula rate shown on Worksheet O.  No other changes to the formula rate may be included in that filing.</t>
  </si>
  <si>
    <t>The Post-employment Benefit Other than Pension (PBOP) expense is fixed based on an approved ratio of PBOP expense to direct labor expense.</t>
  </si>
  <si>
    <t>See note K above. Recoverable PBOP expense is based on a rate of $(0.058) cents per dollar of direct labor.  This rate may be adjusted up or down every four years based on a comparison of the Allowable TransCo PBOP Expense and the Actual PBOP Expense for a four year Historic and four year Projected  period.  If the over or under collection is greater than plus or minus 20% of the recoverable amount, an adjustment will be proposed in a Section 205 rate filing.</t>
  </si>
  <si>
    <t>Common Stock cost rate (ROE) = 11.49%, the rate accepted by FERC in Docket No. ER10-355.  It includes an additional 50 basis points for PJM RTO membership.  All Transmission Companies other than AEP Appalachian Transmission Company utilize their own capital structure and costs as shown on Worksheet M.  The calculations on Worksheet M will use the projected or actual 13 month average balances of long-term debt, common and preferred equity and calendar year long term debt interest expenses, preferred dividends and approved ROE.  The long term debt balances and long term debt cost rate shall not include any amounts related to hedging activity.  As shown on Worksheet Q, the AEP Appalachian Transmission Company capital structure and weighted cost of capital (WACC) shall be based on the weighted composite of the AEP East Operating Companies beginning and ending average outstanding LTD and PS issuances with the common equity portion in Docket No. ER08-1329, and (2) the weighted composite LTD and PS cost using projected or actual calendar year LTD expense and PS dividends of the AEP East Operating Companies excluding all interest rate hedging costs and/or gains, until the Company establishes its own actual capital structure.</t>
  </si>
  <si>
    <t>Transmission Plant Balances in this study are projected or actual average 13 month balances.</t>
  </si>
  <si>
    <t>AEP Ohio Transmission Company</t>
  </si>
  <si>
    <t>Prepaid Insurance</t>
  </si>
  <si>
    <t>Prepaid Taxes</t>
  </si>
  <si>
    <t>Misc General Expenses</t>
  </si>
  <si>
    <t>Corporate &amp; Fiscal Expenses</t>
  </si>
  <si>
    <t>Assoc Business Development Exp</t>
  </si>
  <si>
    <t>OHIO JURISDICTION</t>
  </si>
  <si>
    <t>Real and Personal Property - Ohio</t>
  </si>
  <si>
    <t>RTEP ID: b0570 (LIMA-STERLING 138 KV LINE: REB)</t>
  </si>
  <si>
    <t>No</t>
  </si>
  <si>
    <t>RTEP ID: b1231 (WAPAKONETA-WEST MOULTON 138/69KV Transformer)</t>
  </si>
  <si>
    <t xml:space="preserve">RTEP ID: b1034.1 (South Canton - West Canton  138kV line and Wagenhals – Wayview 138kV </t>
  </si>
  <si>
    <t>RTEP ID: b1034.8 (138kV Circuit Breakers at the West Canton, South Canton, Canton Central, and Wagenhals stations)</t>
  </si>
  <si>
    <t>RTEP ID: b1864.2 (West Bellaire-Brues 138 kV Circuit)</t>
  </si>
  <si>
    <t>RTEP ID: b1870 (Replace Ohio Central transformer #1 345/138/12 kV 450 MVA for a 345/138/34.5 kV 675 MVA transformer)</t>
  </si>
  <si>
    <t>RTEP ID: b1032.2 (Construct two 138kV outlets to Delano 138kV station and to Camp Sherman station)</t>
  </si>
  <si>
    <t>RTEP ID: b1034.2 (Loop the existing South Canton - Wayview 138kV circuit in-and-out of West Canton)</t>
  </si>
  <si>
    <t>RTEP ID: b1970 (Reconductor 13 miles of Kammer-West Bellaire 345 kV line)</t>
  </si>
  <si>
    <t>RTEP ID: b1034.3 (Install a 345/138kV 450 MVA transformer at Canton Central)</t>
  </si>
  <si>
    <t>no</t>
  </si>
  <si>
    <t>RTEP ID: b2018 (Loop Conesville-Bixby 345 kV circuit into Ohio Central)</t>
  </si>
  <si>
    <t xml:space="preserve"> $                       -  </t>
  </si>
  <si>
    <t>RTEP ID: b2021 (Add 345/138 kV Transformers at Sporn, Kanawha River, and Muskingum River stations)</t>
  </si>
  <si>
    <t>RTEP ID: b2032 (Rebuild 138 kV Elliott Tap-Poston line)</t>
  </si>
  <si>
    <t>RTEP ID: b1032.1 (Construct a new 345/138kV station on the Marquis-Bixby 345kV line near the intersection with Ross - Highland 69kV )</t>
  </si>
  <si>
    <t>RTEP ID: b1032.4 (Install 138/69kV transformer at new station and connect in the Ross - Highland 69kV line)</t>
  </si>
  <si>
    <t>RTEP ID: b1666 (Build an 8 breaker 138 kV station tapping both circuits of the Fostoria-East Lima 138 kV line)</t>
  </si>
  <si>
    <t>RTEP ID: b1819 (Rebuild the Robinson Park-Sorneson 138 kV line corridor as a 345 kV double circuit line with one side operated at 345 kV and one side at 138 kV)</t>
  </si>
  <si>
    <t>RTEP ID: b1957 (Terminate Transformer #2 at SW Lima in new bay position)</t>
  </si>
  <si>
    <t>RTEP ID: b2019 (Establish Burger 345/138 kV station)</t>
  </si>
  <si>
    <t>RTEP ID: b2017 (Reconductor or rebuild Sporn - Waterford - Muskingum River 345 kV line)</t>
  </si>
  <si>
    <t>RTEP ID: b1818 (Expand Allen w/second xfmr. And cut-in 138 kV double circuit tower line)</t>
  </si>
  <si>
    <t>AEPTCo Subsidiaraies in PJM</t>
  </si>
  <si>
    <t>Plant Related Insurance Policies</t>
  </si>
  <si>
    <t xml:space="preserve">Ohio State Tax Rate </t>
  </si>
  <si>
    <t xml:space="preserve">Real and Personal Property - </t>
  </si>
  <si>
    <t>CSP</t>
  </si>
  <si>
    <t>OPCo</t>
  </si>
  <si>
    <t>Note: AEP Ohio Transmission Company shall initially use the composite depreciation rate for APCo, I&amp;M and KPCo shown above to estimate depreciation expense for transmission projects in worksheets J and K until a composite depreciation rate based on transmission plant in service and depreciation expenses recorded by AEP Ohio Transmission Company for its own transmission facilities can be calculated in AEP Ohio Transmission Company's the first Annual Update including a True-up TCOS.</t>
  </si>
  <si>
    <t>RTEP ID: b2833 (Reconductor Maddox Creed-East Lima 345kV circuit w 2-954 ACSS Cardinal cond)</t>
  </si>
  <si>
    <t>Capital Structure Equity Limit (Note Z)</t>
  </si>
  <si>
    <t>Z</t>
  </si>
  <si>
    <t xml:space="preserve">Per the settlement in EL17-13, equity is limited to 55% of the Company's capital structure.  If the percentage of actual equity exceeds the cap, the excess is included as long term debt in the capital structure.  </t>
  </si>
  <si>
    <t>Cap Limit</t>
  </si>
  <si>
    <t>1650001</t>
  </si>
  <si>
    <t>GENERAL PLANT</t>
  </si>
  <si>
    <t>Stores Equipment</t>
  </si>
  <si>
    <t>Laboratory Equipment</t>
  </si>
  <si>
    <t>AEP OHIO TRANSMISSION COMPANY, INC.</t>
  </si>
  <si>
    <t>Worksheet B-3</t>
  </si>
  <si>
    <t>Excess/ Deficient ADIT Worksheet</t>
  </si>
  <si>
    <t>Debit/(Credit)</t>
  </si>
  <si>
    <t xml:space="preserve">I </t>
  </si>
  <si>
    <t xml:space="preserve">J </t>
  </si>
  <si>
    <t>Balance Sheet Entries</t>
  </si>
  <si>
    <t>Tax Expense Entries</t>
  </si>
  <si>
    <t xml:space="preserve">Line No. </t>
  </si>
  <si>
    <t>Account (NOTE A)</t>
  </si>
  <si>
    <t>Description of Account</t>
  </si>
  <si>
    <t>Protected
Unprotected</t>
  </si>
  <si>
    <t>Tax Rate Change Act</t>
  </si>
  <si>
    <t>Excess Balance at Remeasurement</t>
  </si>
  <si>
    <t>Amortization Methodology (NOTE C)</t>
  </si>
  <si>
    <t>Amotization Period</t>
  </si>
  <si>
    <t>Excess ADIT Regulatory  Offset</t>
  </si>
  <si>
    <t>Excess ADIT in Utility Deferrals</t>
  </si>
  <si>
    <t>Balance Sheet Account Reclassifications</t>
  </si>
  <si>
    <t>410/411
Excess Amortization NOTE C</t>
  </si>
  <si>
    <t>410/411 Deferred Tax Expense/ (Benefit)</t>
  </si>
  <si>
    <t>Reference</t>
  </si>
  <si>
    <t>Sum of Cols (I) - (O)</t>
  </si>
  <si>
    <t>Deferred Tax Account (NOTE B)</t>
  </si>
  <si>
    <t>1a</t>
  </si>
  <si>
    <r>
      <t>190</t>
    </r>
    <r>
      <rPr>
        <sz val="9"/>
        <color indexed="10"/>
        <rFont val="Arial"/>
        <family val="2"/>
      </rPr>
      <t>4</t>
    </r>
    <r>
      <rPr>
        <sz val="9"/>
        <rFont val="Arial"/>
        <family val="2"/>
      </rPr>
      <t>001</t>
    </r>
  </si>
  <si>
    <t xml:space="preserve">ADFIT - FAS 109 Excess </t>
  </si>
  <si>
    <t>N/A</t>
  </si>
  <si>
    <t>TCJA 2017</t>
  </si>
  <si>
    <t>WS B - 2 Col B/C, ADIT Item 2.12</t>
  </si>
  <si>
    <t>1b</t>
  </si>
  <si>
    <r>
      <t>282</t>
    </r>
    <r>
      <rPr>
        <sz val="9"/>
        <color indexed="10"/>
        <rFont val="Arial"/>
        <family val="2"/>
      </rPr>
      <t>1</t>
    </r>
    <r>
      <rPr>
        <sz val="9"/>
        <rFont val="Arial"/>
        <family val="2"/>
      </rPr>
      <t>001</t>
    </r>
  </si>
  <si>
    <t>ADFIT - Utility Property</t>
  </si>
  <si>
    <t>Protected</t>
  </si>
  <si>
    <t>ARAM</t>
  </si>
  <si>
    <t>Life of Asset</t>
  </si>
  <si>
    <t>1c</t>
  </si>
  <si>
    <t>Unprotected</t>
  </si>
  <si>
    <t>10 Years</t>
  </si>
  <si>
    <t>1/2018 - 12/2027</t>
  </si>
  <si>
    <t>1d</t>
  </si>
  <si>
    <r>
      <t>282</t>
    </r>
    <r>
      <rPr>
        <sz val="9"/>
        <color indexed="10"/>
        <rFont val="Arial"/>
        <family val="2"/>
      </rPr>
      <t>4</t>
    </r>
    <r>
      <rPr>
        <sz val="9"/>
        <rFont val="Arial"/>
        <family val="2"/>
      </rPr>
      <t>001</t>
    </r>
  </si>
  <si>
    <t>ADFIT - Utility Property FAS 109 Excess</t>
  </si>
  <si>
    <t>1e</t>
  </si>
  <si>
    <t>1f</t>
  </si>
  <si>
    <r>
      <t>283</t>
    </r>
    <r>
      <rPr>
        <sz val="9"/>
        <color indexed="10"/>
        <rFont val="Arial"/>
        <family val="2"/>
      </rPr>
      <t>1</t>
    </r>
    <r>
      <rPr>
        <sz val="9"/>
        <rFont val="Arial"/>
        <family val="2"/>
      </rPr>
      <t>001</t>
    </r>
  </si>
  <si>
    <t>ADFIT - Other Utility Deferrals</t>
  </si>
  <si>
    <t>WS B - 1 Col N, ADIT Item 9.06</t>
  </si>
  <si>
    <t>1g</t>
  </si>
  <si>
    <r>
      <t>283</t>
    </r>
    <r>
      <rPr>
        <sz val="9"/>
        <color indexed="10"/>
        <rFont val="Arial"/>
        <family val="2"/>
      </rPr>
      <t>4</t>
    </r>
    <r>
      <rPr>
        <sz val="9"/>
        <rFont val="Arial"/>
        <family val="2"/>
      </rPr>
      <t>001</t>
    </r>
  </si>
  <si>
    <t>ADFIT - Other FAS 109 Excess</t>
  </si>
  <si>
    <t>WS B - 1 Col B/C, ADIT Item 9.09</t>
  </si>
  <si>
    <t>1h</t>
  </si>
  <si>
    <t>NOTE  D</t>
  </si>
  <si>
    <t>Regulatory Deferral Accounts</t>
  </si>
  <si>
    <t>2a</t>
  </si>
  <si>
    <t xml:space="preserve">Regulatory Asset  </t>
  </si>
  <si>
    <t xml:space="preserve"> Company Records</t>
  </si>
  <si>
    <t>2b</t>
  </si>
  <si>
    <t>Regulatory Liability</t>
  </si>
  <si>
    <t>FERC Form 1 p. 278 Ln. 3 Cols, (b) /(f)</t>
  </si>
  <si>
    <t>2c</t>
  </si>
  <si>
    <r>
      <t xml:space="preserve">NOTE </t>
    </r>
    <r>
      <rPr>
        <sz val="9"/>
        <color indexed="10"/>
        <rFont val="Arial"/>
        <family val="2"/>
      </rPr>
      <t>E</t>
    </r>
  </si>
  <si>
    <t>NOTE A</t>
  </si>
  <si>
    <t xml:space="preserve">In order to ensure ratebase neutrality, AEP utilizes the fourth digit of its seven digit FERC Tax subaccount numbers to identify balances associated with uitlity operations vs regulatory reporting requirements.  A "1" in the fourth digit of a FERC tax account refers to the utility operations balance or entry.  Accounts with the "1" designation will be included in the determination of ratebase to be recovered in the formula rate.   A "4"  in the four place of the account number indicates accounts used to track regulatory accounting requirements.  The excess ADIT amounts recorded in accounts with the  "4" designation will be contra to the "1" balance, which will ensure that in the formula rate the excess amount will be part of ratebase, but at the total FERC account level the tax asset or liability will be recorded at the current Federal FIT rate.   The amounts recored in the "4" will be offset on a net basis in  the regulatory asset or liability subaccount established for this purpose. </t>
  </si>
  <si>
    <t>NOTE B:</t>
  </si>
  <si>
    <t>The amount of the FIT gross up to recorded on regulatory assets and liabilities will be reported on the first line of ADIT accounts provided for each specific change in tax rates.</t>
  </si>
  <si>
    <t>NOTE C:</t>
  </si>
  <si>
    <r>
      <t xml:space="preserve">The ten year amortization period for unprotected excess ADIT is consistent with the period agreed upon by the Company and its customers and approved for the Company's PJM formula rates. </t>
    </r>
    <r>
      <rPr>
        <i/>
        <sz val="9"/>
        <rFont val="Arial"/>
        <family val="2"/>
      </rPr>
      <t xml:space="preserve">Appalachian Power Company, et al, 166 FERC ¶ 61,135 (2019). </t>
    </r>
  </si>
  <si>
    <t>NOTE D:</t>
  </si>
  <si>
    <t xml:space="preserve"> In  the event of future tax rate changes, additional lines will be inserted as required to reflect  any new ADIT or regulatory deferral accounts that may be necessary to track that tax rate change.</t>
  </si>
  <si>
    <t>NOTE E:</t>
  </si>
  <si>
    <t>165000219</t>
  </si>
  <si>
    <t>EFFECTIVE AS OF 1/1/2020</t>
  </si>
  <si>
    <t>Electric Storage Equipment (4)</t>
  </si>
  <si>
    <t>Structures &amp; Improvements</t>
  </si>
  <si>
    <t>Station Equipment</t>
  </si>
  <si>
    <t xml:space="preserve">Towers &amp; Fixtures  </t>
  </si>
  <si>
    <t>Poles &amp; Fixtures</t>
  </si>
  <si>
    <t>OH Conductor &amp; Devices</t>
  </si>
  <si>
    <t>Underground Conduit</t>
  </si>
  <si>
    <t>Underground Conductor</t>
  </si>
  <si>
    <t>Office Furniture &amp; Equipment</t>
  </si>
  <si>
    <t>Transportation Equipment</t>
  </si>
  <si>
    <t>Tools Shop &amp; Garage Equipment</t>
  </si>
  <si>
    <t>Communication Equipment</t>
  </si>
  <si>
    <t>Miscellaneous Equipment</t>
  </si>
  <si>
    <t>WS B - 1 Col N, ADIT Item 5.16</t>
  </si>
  <si>
    <t>WS B - 1 Col N, ADIT Item 5.17</t>
  </si>
  <si>
    <t>WS B - 1 Col B/C, ADIT Item 5.20</t>
  </si>
  <si>
    <t>1/1/2022 Beginning  Balances</t>
  </si>
  <si>
    <t>12/31/2022 Ending Balance</t>
  </si>
  <si>
    <t>For Year Ended December 31, 2023</t>
  </si>
  <si>
    <t>165000220</t>
  </si>
  <si>
    <t>165000221</t>
  </si>
  <si>
    <t>Research, Develop&amp;Demonstr Exp</t>
  </si>
  <si>
    <t>9280000</t>
  </si>
  <si>
    <t>Regulatory Commission Exp</t>
  </si>
  <si>
    <t>9280001</t>
  </si>
  <si>
    <t>Regulatory Commission Exp-Adm</t>
  </si>
  <si>
    <t>9280002</t>
  </si>
  <si>
    <t>Regulatory Commission Exp-Case</t>
  </si>
  <si>
    <t>9280005</t>
  </si>
  <si>
    <t>Reg Com Exp-FERC Trans Cases</t>
  </si>
  <si>
    <t>9280006</t>
  </si>
  <si>
    <t>State Publ Serv CommissionFees</t>
  </si>
  <si>
    <t>9301000</t>
  </si>
  <si>
    <t>General Advertising Expenses</t>
  </si>
  <si>
    <t>9301001</t>
  </si>
  <si>
    <t>Newspaper Advertising Space</t>
  </si>
  <si>
    <t>9301010</t>
  </si>
  <si>
    <t>Publicity</t>
  </si>
  <si>
    <t>9301012</t>
  </si>
  <si>
    <t>Public Opinion Surveys</t>
  </si>
  <si>
    <t>9301014</t>
  </si>
  <si>
    <t>Video Communications</t>
  </si>
  <si>
    <t>9301015</t>
  </si>
  <si>
    <t>Other Corporate Comm Exp</t>
  </si>
  <si>
    <t>AEP EAST TRANSMISSION COMPANIES</t>
  </si>
  <si>
    <t>Docket ER20-1888-000</t>
  </si>
  <si>
    <t>AEP APPALACHIAN TRANSMISSION COMPANY</t>
  </si>
  <si>
    <t>Compliance Filing</t>
  </si>
  <si>
    <t>ATTACHMENT H-20B</t>
  </si>
  <si>
    <t>Attachment 12</t>
  </si>
  <si>
    <t>WORKSHEET B-3-A</t>
  </si>
  <si>
    <t>Page 1 of 5</t>
  </si>
  <si>
    <t>TAX REMEASUREMENT  WORKSHEET</t>
  </si>
  <si>
    <t>TAX CUT and JOBS ACT of  2017</t>
  </si>
  <si>
    <t>F=E/C</t>
  </si>
  <si>
    <t>H = E + G</t>
  </si>
  <si>
    <t>J = C - H</t>
  </si>
  <si>
    <t>Line No.</t>
  </si>
  <si>
    <t xml:space="preserve">Utility Account </t>
  </si>
  <si>
    <t>12/31/17 Pre-remeasurement Balance</t>
  </si>
  <si>
    <t>Remeasurement Amount (NOTE 1)</t>
  </si>
  <si>
    <t>Remeasurement Percentage (NOTE 2)</t>
  </si>
  <si>
    <t>190/283 Recalss (NOTE 3)</t>
  </si>
  <si>
    <t>Total Excess/Deficiency by Account (NOTE 4)</t>
  </si>
  <si>
    <t>Protected / Unprotected</t>
  </si>
  <si>
    <t>ADIT Deferral After Remeasurement</t>
  </si>
  <si>
    <t>190 Utility Balance</t>
  </si>
  <si>
    <t>2018 FF1 P. 234 Col (b) Line 8</t>
  </si>
  <si>
    <t>Less: Deferred State Taxes</t>
  </si>
  <si>
    <t>1901001</t>
  </si>
  <si>
    <t>2821001</t>
  </si>
  <si>
    <t>2018 FF1 P. 274 Col (b) Line 5</t>
  </si>
  <si>
    <t>283 Utility Balance</t>
  </si>
  <si>
    <t>2018 FF1 P. 276 Col (b) Line 9</t>
  </si>
  <si>
    <t>Less: Accum Deferred SIT -Other</t>
  </si>
  <si>
    <t>2831001</t>
  </si>
  <si>
    <t xml:space="preserve">GENERAL NOTE:  This worksheet will summarize remeasurement adjustments in ADIT Accounts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</si>
  <si>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 xml:space="preserve">NOTE 1: </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</si>
  <si>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</si>
  <si>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</si>
  <si>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</si>
  <si>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</si>
  <si>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</si>
  <si>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</si>
  <si>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Transmission Company's Workpaper B-3, Column F, showing the intial remeasurement value determined as a result of the Tax Cut and Jobs Act of 2017.</t>
  </si>
  <si>
    <t>Transmission Accumulated Depreciation net of GSU, and Other Excludable Balances (Ln 28d - 42c - 42e)</t>
  </si>
  <si>
    <r>
      <rPr>
        <b/>
        <sz val="12"/>
        <rFont val="Arial MT"/>
      </rPr>
      <t>Note:</t>
    </r>
    <r>
      <rPr>
        <sz val="12"/>
        <rFont val="Arial MT"/>
      </rPr>
      <t xml:space="preserve"> Per the Settlement in Docket No. ER10-355, Appendix A.1.2, AEP OHIO TRANSMISSION COMPANY shall use the depreciation rates shown above by FERC Account until such time as the FERC approves new depreciation rates pusuant to a Section 205 or 206 filing to change rates.
APCo Transco Depreciation Rates are based on the APCo VA Order in VA SCC Case No. PUR-2020-00015.</t>
    </r>
  </si>
  <si>
    <t>An over or under collection will be recovered prorata over 2024, held for 2025 and returned prorate over 2026</t>
  </si>
  <si>
    <t>2024 Forecasted Revenue Requirement For Year 2024</t>
  </si>
  <si>
    <t>2024 Collections</t>
  </si>
  <si>
    <t>GP=</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</si>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</sst>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00000_);_(* \(#,##0.0000000000\);_(* &quot;-&quot;_);_(@_)"/>
    <numFmt numFmtId="182" formatCode="_(* #,##0.00000_);_(* \(#,##0.00000\);_(* &quot;-&quot;??_);_(@_)"/>
    <numFmt numFmtId="183" formatCode="#,##0.0000000"/>
    <numFmt numFmtId="184" formatCode="_(* #,##0.0000000_);_(* \(#,##0.0000000\);_(* &quot;-&quot;_);_(@_)"/>
    <numFmt numFmtId="185" formatCode="#,##0\ ;\(#,##0\)"/>
    <numFmt numFmtId="186" formatCode="_(* #,##0.0000_);_(* \(#,##0.0000\);_(* &quot;-&quot;??_);_(@_)"/>
    <numFmt numFmtId="187" formatCode="0.0%"/>
    <numFmt numFmtId="188" formatCode="_(* #,##0.000_);_(* \(#,##0.000\);_(* &quot;-&quot;_);_(@_)"/>
    <numFmt numFmtId="189" formatCode="#,##0.000000"/>
    <numFmt numFmtId="190" formatCode="mmmm\ d\,\ yyyy"/>
    <numFmt numFmtId="191" formatCode="m/d/yy;@"/>
    <numFmt numFmtId="192" formatCode="0.000000%"/>
    <numFmt numFmtId="193" formatCode="0_);\(0\)"/>
    <numFmt numFmtId="194" formatCode="0.0"/>
    <numFmt numFmtId="195" formatCode="&quot;$&quot;#,##0.0000"/>
    <numFmt numFmtId="196" formatCode="_(* #,##0.00_);_(* \(#,##0.00\);_(* &quot;-&quot;_);_(@_)"/>
    <numFmt numFmtId="197" formatCode="[$-409]mmmm\-yy;@"/>
    <numFmt numFmtId="198" formatCode="mm/dd/yy"/>
  </numFmts>
  <fonts count="159">
    <font>
      <sz val="10"/>
      <name val="Arial"/>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23"/>
      <name val="Helv"/>
    </font>
    <font>
      <sz val="12"/>
      <color indexed="10"/>
      <name val="Arial MT"/>
    </font>
    <font>
      <b/>
      <strike/>
      <u/>
      <sz val="10"/>
      <color indexed="10"/>
      <name val="Arial"/>
      <family val="2"/>
    </font>
    <font>
      <strike/>
      <u/>
      <sz val="10"/>
      <color indexed="10"/>
      <name val="Arial"/>
      <family val="2"/>
    </font>
    <font>
      <sz val="8"/>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0"/>
      <name val="Arial MT"/>
    </font>
    <font>
      <sz val="12"/>
      <name val="Arial Black"/>
      <family val="2"/>
    </font>
    <font>
      <sz val="10"/>
      <color indexed="12"/>
      <name val="Courier"/>
      <family val="3"/>
    </font>
    <font>
      <i/>
      <sz val="12"/>
      <name val="Arial Condensed Bold"/>
    </font>
    <font>
      <b/>
      <i/>
      <sz val="12"/>
      <name val="Arial MT"/>
    </font>
    <font>
      <b/>
      <u/>
      <sz val="12"/>
      <name val="Arial MT"/>
    </font>
    <font>
      <sz val="12"/>
      <name val="Arial"/>
      <family val="2"/>
    </font>
    <font>
      <b/>
      <strike/>
      <u/>
      <sz val="12"/>
      <color indexed="10"/>
      <name val="Arial"/>
      <family val="2"/>
    </font>
    <font>
      <sz val="12"/>
      <name val="Arial"/>
      <family val="2"/>
    </font>
    <font>
      <sz val="10"/>
      <name val="Tahoma"/>
      <family val="2"/>
    </font>
    <font>
      <sz val="8"/>
      <name val="Tahoma"/>
      <family val="2"/>
    </font>
    <font>
      <b/>
      <i/>
      <u/>
      <sz val="10"/>
      <name val="Arial"/>
      <family val="2"/>
    </font>
    <font>
      <b/>
      <sz val="12"/>
      <name val="Arial Condensed Bold"/>
    </font>
    <font>
      <sz val="10"/>
      <color indexed="17"/>
      <name val="Arial"/>
      <family val="2"/>
    </font>
    <font>
      <b/>
      <sz val="10"/>
      <color indexed="17"/>
      <name val="Arial"/>
      <family val="2"/>
    </font>
    <font>
      <i/>
      <sz val="14"/>
      <name val="Arial"/>
      <family val="2"/>
    </font>
    <font>
      <sz val="12"/>
      <color indexed="8"/>
      <name val="Helv"/>
    </font>
    <font>
      <sz val="12"/>
      <color indexed="8"/>
      <name val="Arial"/>
      <family val="2"/>
    </font>
    <font>
      <i/>
      <sz val="14"/>
      <name val="Helv"/>
    </font>
    <font>
      <sz val="10"/>
      <name val="Arial"/>
      <family val="2"/>
    </font>
    <font>
      <sz val="10"/>
      <name val="Arial"/>
      <family val="2"/>
    </font>
    <font>
      <sz val="12"/>
      <name val="Arial Narrow"/>
      <family val="2"/>
    </font>
    <font>
      <b/>
      <sz val="12"/>
      <name val="Arial Narrow"/>
      <family val="2"/>
    </font>
    <font>
      <b/>
      <u/>
      <sz val="12"/>
      <name val="Arial Narrow"/>
      <family val="2"/>
    </font>
    <font>
      <sz val="11"/>
      <color indexed="12"/>
      <name val="Arial"/>
      <family val="2"/>
    </font>
    <font>
      <u val="singleAccounting"/>
      <sz val="11"/>
      <name val="Arial"/>
      <family val="2"/>
    </font>
    <font>
      <b/>
      <u/>
      <sz val="11"/>
      <name val="Arial"/>
      <family val="2"/>
    </font>
    <font>
      <sz val="10"/>
      <name val="Arial"/>
      <family val="2"/>
    </font>
    <font>
      <sz val="10"/>
      <name val="Arial"/>
      <family val="2"/>
    </font>
    <font>
      <b/>
      <i/>
      <sz val="12"/>
      <name val="Times New Roman"/>
      <family val="1"/>
    </font>
    <font>
      <strike/>
      <sz val="12"/>
      <color indexed="10"/>
      <name val="Arial"/>
      <family val="2"/>
    </font>
    <font>
      <sz val="10"/>
      <color indexed="40"/>
      <name val="Arial"/>
      <family val="2"/>
    </font>
    <font>
      <sz val="10"/>
      <name val="Arial"/>
      <family val="2"/>
    </font>
    <font>
      <sz val="10"/>
      <color indexed="40"/>
      <name val="Times New Roman"/>
      <family val="1"/>
    </font>
    <font>
      <sz val="13"/>
      <name val="Times New Roman"/>
      <family val="1"/>
    </font>
    <font>
      <sz val="10"/>
      <color indexed="12"/>
      <name val="Times New Roman"/>
      <family val="1"/>
    </font>
    <font>
      <sz val="10"/>
      <name val="Arial"/>
      <family val="2"/>
    </font>
    <font>
      <b/>
      <i/>
      <sz val="12"/>
      <name val="Cambria"/>
      <family val="1"/>
    </font>
    <font>
      <sz val="10"/>
      <name val="Cambria"/>
      <family val="1"/>
    </font>
    <font>
      <sz val="12"/>
      <name val="Cambria"/>
      <family val="1"/>
    </font>
    <font>
      <b/>
      <sz val="12"/>
      <name val="Cambria"/>
      <family val="1"/>
    </font>
    <font>
      <b/>
      <sz val="10"/>
      <name val="Cambria"/>
      <family val="1"/>
    </font>
    <font>
      <b/>
      <u/>
      <sz val="12"/>
      <name val="Cambria"/>
      <family val="1"/>
    </font>
    <font>
      <sz val="12"/>
      <color indexed="12"/>
      <name val="Cambria"/>
      <family val="1"/>
    </font>
    <font>
      <i/>
      <sz val="10"/>
      <name val="Cambria"/>
      <family val="1"/>
    </font>
    <font>
      <sz val="9"/>
      <color indexed="10"/>
      <name val="Arial"/>
      <family val="2"/>
    </font>
    <font>
      <i/>
      <sz val="9"/>
      <name val="Arial"/>
      <family val="2"/>
    </font>
    <font>
      <sz val="11"/>
      <color theme="1"/>
      <name val="Calibri"/>
      <family val="2"/>
      <scheme val="minor"/>
    </font>
    <font>
      <sz val="11"/>
      <color theme="1"/>
      <name val="Calibri"/>
      <family val="2"/>
    </font>
    <font>
      <i/>
      <sz val="12"/>
      <color rgb="FFFF0000"/>
      <name val="Arial"/>
      <family val="2"/>
    </font>
    <font>
      <b/>
      <sz val="10"/>
      <color rgb="FFFF0000"/>
      <name val="Arial"/>
      <family val="2"/>
    </font>
    <font>
      <sz val="10"/>
      <color rgb="FF0000FF"/>
      <name val="Arial"/>
      <family val="2"/>
    </font>
    <font>
      <sz val="11"/>
      <color theme="1"/>
      <name val="Arial"/>
      <family val="2"/>
    </font>
    <font>
      <sz val="10"/>
      <color rgb="FFFF0000"/>
      <name val="Arial"/>
      <family val="2"/>
    </font>
    <font>
      <b/>
      <sz val="10"/>
      <color rgb="FF0000FF"/>
      <name val="Arial"/>
      <family val="2"/>
    </font>
    <font>
      <sz val="9"/>
      <color indexed="81"/>
      <name val="Tahoma"/>
      <family val="2"/>
    </font>
    <font>
      <b/>
      <sz val="9"/>
      <color indexed="81"/>
      <name val="Tahoma"/>
      <family val="2"/>
    </font>
    <font>
      <sz val="12"/>
      <color rgb="FFFF000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23"/>
        <bgColor indexed="64"/>
      </patternFill>
    </fill>
    <fill>
      <patternFill patternType="solid">
        <fgColor indexed="55"/>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0" tint="-0.24991607409894101"/>
        <bgColor indexed="64"/>
      </patternFill>
    </fill>
    <fill>
      <patternFill patternType="darkUp">
        <bgColor theme="0" tint="-0.14990691854609822"/>
      </patternFill>
    </fill>
  </fills>
  <borders count="48">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8"/>
      </top>
      <bottom/>
      <diagonal/>
    </border>
    <border>
      <left/>
      <right/>
      <top/>
      <bottom style="double">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42">
    <xf numFmtId="0" fontId="0" fillId="0" borderId="0"/>
    <xf numFmtId="0" fontId="35" fillId="2" borderId="0" applyNumberFormat="0" applyBorder="0" applyAlignment="0" applyProtection="0"/>
    <xf numFmtId="0" fontId="35" fillId="2"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172" fontId="38" fillId="0" borderId="0" applyFill="0"/>
    <xf numFmtId="172" fontId="38" fillId="0" borderId="0">
      <alignment horizontal="center"/>
    </xf>
    <xf numFmtId="0" fontId="38" fillId="0" borderId="0" applyFill="0">
      <alignment horizontal="center"/>
    </xf>
    <xf numFmtId="172" fontId="4" fillId="0" borderId="1" applyFill="0"/>
    <xf numFmtId="0" fontId="12" fillId="0" borderId="0" applyFont="0" applyAlignment="0"/>
    <xf numFmtId="0" fontId="39" fillId="0" borderId="0" applyFill="0">
      <alignment vertical="top"/>
    </xf>
    <xf numFmtId="0" fontId="4" fillId="0" borderId="0" applyFill="0">
      <alignment horizontal="left" vertical="top"/>
    </xf>
    <xf numFmtId="172" fontId="6" fillId="0" borderId="2" applyFill="0"/>
    <xf numFmtId="0" fontId="12" fillId="0" borderId="0" applyNumberFormat="0" applyFont="0" applyAlignment="0"/>
    <xf numFmtId="0" fontId="39" fillId="0" borderId="0" applyFill="0">
      <alignment wrapText="1"/>
    </xf>
    <xf numFmtId="0" fontId="4" fillId="0" borderId="0" applyFill="0">
      <alignment horizontal="left" vertical="top" wrapText="1"/>
    </xf>
    <xf numFmtId="172" fontId="40" fillId="0" borderId="0" applyFill="0"/>
    <xf numFmtId="0" fontId="41" fillId="0" borderId="0" applyNumberFormat="0" applyFont="0" applyAlignment="0">
      <alignment horizontal="center"/>
    </xf>
    <xf numFmtId="0" fontId="42" fillId="0" borderId="0" applyFill="0">
      <alignment vertical="top" wrapText="1"/>
    </xf>
    <xf numFmtId="0" fontId="6" fillId="0" borderId="0" applyFill="0">
      <alignment horizontal="left" vertical="top" wrapText="1"/>
    </xf>
    <xf numFmtId="172" fontId="12" fillId="0" borderId="0" applyFill="0"/>
    <xf numFmtId="0" fontId="41" fillId="0" borderId="0" applyNumberFormat="0" applyFont="0" applyAlignment="0">
      <alignment horizontal="center"/>
    </xf>
    <xf numFmtId="0" fontId="28" fillId="0" borderId="0" applyFill="0">
      <alignment vertical="center" wrapText="1"/>
    </xf>
    <xf numFmtId="0" fontId="5" fillId="0" borderId="0">
      <alignment horizontal="left" vertical="center" wrapText="1"/>
    </xf>
    <xf numFmtId="172" fontId="24" fillId="0" borderId="0" applyFill="0"/>
    <xf numFmtId="0" fontId="41" fillId="0" borderId="0" applyNumberFormat="0" applyFont="0" applyAlignment="0">
      <alignment horizontal="center"/>
    </xf>
    <xf numFmtId="0" fontId="16" fillId="0" borderId="0" applyFill="0">
      <alignment horizontal="center" vertical="center" wrapText="1"/>
    </xf>
    <xf numFmtId="0" fontId="12" fillId="0" borderId="0" applyFill="0">
      <alignment horizontal="center" vertical="center" wrapText="1"/>
    </xf>
    <xf numFmtId="172" fontId="43" fillId="0" borderId="0" applyFill="0"/>
    <xf numFmtId="0" fontId="41" fillId="0" borderId="0" applyNumberFormat="0" applyFont="0" applyAlignment="0">
      <alignment horizontal="center"/>
    </xf>
    <xf numFmtId="0" fontId="44" fillId="0" borderId="0" applyFill="0">
      <alignment horizontal="center" vertical="center" wrapText="1"/>
    </xf>
    <xf numFmtId="0" fontId="45" fillId="0" borderId="0" applyFill="0">
      <alignment horizontal="center" vertical="center" wrapText="1"/>
    </xf>
    <xf numFmtId="172" fontId="46" fillId="0" borderId="0" applyFill="0"/>
    <xf numFmtId="0" fontId="41" fillId="0" borderId="0" applyNumberFormat="0" applyFont="0" applyAlignment="0">
      <alignment horizontal="center"/>
    </xf>
    <xf numFmtId="0" fontId="47" fillId="0" borderId="0">
      <alignment horizontal="center" wrapText="1"/>
    </xf>
    <xf numFmtId="0" fontId="43" fillId="0" borderId="0" applyFill="0">
      <alignment horizontal="center" wrapText="1"/>
    </xf>
    <xf numFmtId="0" fontId="48" fillId="20" borderId="3" applyNumberFormat="0" applyAlignment="0" applyProtection="0"/>
    <xf numFmtId="0" fontId="48" fillId="20" borderId="3" applyNumberFormat="0" applyAlignment="0" applyProtection="0"/>
    <xf numFmtId="0" fontId="49" fillId="21" borderId="4" applyNumberFormat="0" applyAlignment="0" applyProtection="0"/>
    <xf numFmtId="0" fontId="49" fillId="21" borderId="4" applyNumberFormat="0" applyAlignment="0" applyProtection="0"/>
    <xf numFmtId="43" fontId="2" fillId="0" borderId="0" applyFont="0" applyFill="0" applyBorder="0" applyAlignment="0" applyProtection="0"/>
    <xf numFmtId="43" fontId="14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8" fillId="0" borderId="0" applyFont="0" applyFill="0" applyBorder="0" applyAlignment="0" applyProtection="0"/>
    <xf numFmtId="43" fontId="12" fillId="0" borderId="0" applyFont="0" applyFill="0" applyBorder="0" applyAlignment="0" applyProtection="0"/>
    <xf numFmtId="43" fontId="148" fillId="0" borderId="0" applyFont="0" applyFill="0" applyBorder="0" applyAlignment="0" applyProtection="0"/>
    <xf numFmtId="43" fontId="12" fillId="0" borderId="0" applyFont="0" applyFill="0" applyBorder="0" applyAlignment="0" applyProtection="0"/>
    <xf numFmtId="43" fontId="148" fillId="0" borderId="0" applyFont="0" applyFill="0" applyBorder="0" applyAlignment="0" applyProtection="0"/>
    <xf numFmtId="43" fontId="12" fillId="0" borderId="0" applyFont="0" applyFill="0" applyBorder="0" applyAlignment="0" applyProtection="0"/>
    <xf numFmtId="43" fontId="133" fillId="0" borderId="0" applyFont="0" applyFill="0" applyBorder="0" applyAlignment="0" applyProtection="0"/>
    <xf numFmtId="43" fontId="148" fillId="0" borderId="0" applyFont="0" applyFill="0" applyBorder="0" applyAlignment="0" applyProtection="0"/>
    <xf numFmtId="43" fontId="137" fillId="0" borderId="0" applyFont="0" applyFill="0" applyBorder="0" applyAlignment="0" applyProtection="0"/>
    <xf numFmtId="43" fontId="148" fillId="0" borderId="0" applyFont="0" applyFill="0" applyBorder="0" applyAlignment="0" applyProtection="0"/>
    <xf numFmtId="43" fontId="2" fillId="0" borderId="0" applyFont="0" applyFill="0" applyBorder="0" applyAlignment="0" applyProtection="0"/>
    <xf numFmtId="43" fontId="129" fillId="0" borderId="0" applyFont="0" applyFill="0" applyBorder="0" applyAlignment="0" applyProtection="0"/>
    <xf numFmtId="3" fontId="12"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8" fillId="0" borderId="0" applyFont="0" applyFill="0" applyBorder="0" applyAlignment="0" applyProtection="0"/>
    <xf numFmtId="44" fontId="12" fillId="0" borderId="0" applyFont="0" applyFill="0" applyBorder="0" applyAlignment="0" applyProtection="0"/>
    <xf numFmtId="44" fontId="148" fillId="0" borderId="0" applyFont="0" applyFill="0" applyBorder="0" applyAlignment="0" applyProtection="0"/>
    <xf numFmtId="44" fontId="12" fillId="0" borderId="0" applyFont="0" applyFill="0" applyBorder="0" applyAlignment="0" applyProtection="0"/>
    <xf numFmtId="44" fontId="148" fillId="0" borderId="0" applyFont="0" applyFill="0" applyBorder="0" applyAlignment="0" applyProtection="0"/>
    <xf numFmtId="5" fontId="12" fillId="0" borderId="0" applyFont="0" applyFill="0" applyBorder="0" applyAlignment="0" applyProtection="0"/>
    <xf numFmtId="14" fontId="12"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2" fontId="12" fillId="0" borderId="0" applyFont="0" applyFill="0" applyBorder="0" applyAlignment="0" applyProtection="0"/>
    <xf numFmtId="0" fontId="51" fillId="4" borderId="0" applyNumberFormat="0" applyBorder="0" applyAlignment="0" applyProtection="0"/>
    <xf numFmtId="0" fontId="51" fillId="4" borderId="0" applyNumberFormat="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52" fillId="0" borderId="5" applyNumberFormat="0" applyFill="0" applyAlignment="0" applyProtection="0"/>
    <xf numFmtId="0" fontId="52" fillId="0" borderId="5"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6"/>
    <xf numFmtId="0" fontId="54" fillId="0" borderId="0"/>
    <xf numFmtId="0" fontId="55" fillId="7" borderId="3" applyNumberFormat="0" applyAlignment="0" applyProtection="0"/>
    <xf numFmtId="0" fontId="55" fillId="7" borderId="3" applyNumberFormat="0" applyAlignment="0" applyProtection="0"/>
    <xf numFmtId="0" fontId="56" fillId="0" borderId="7" applyNumberFormat="0" applyFill="0" applyAlignment="0" applyProtection="0"/>
    <xf numFmtId="0" fontId="56" fillId="0" borderId="7" applyNumberFormat="0" applyFill="0" applyAlignment="0" applyProtection="0"/>
    <xf numFmtId="0" fontId="57" fillId="22" borderId="0" applyNumberFormat="0" applyBorder="0" applyAlignment="0" applyProtection="0"/>
    <xf numFmtId="0" fontId="57" fillId="22" borderId="0" applyNumberFormat="0" applyBorder="0" applyAlignment="0" applyProtection="0"/>
    <xf numFmtId="3" fontId="128" fillId="0" borderId="0"/>
    <xf numFmtId="3" fontId="12" fillId="0" borderId="0"/>
    <xf numFmtId="3" fontId="12" fillId="0" borderId="0"/>
    <xf numFmtId="3" fontId="12" fillId="0" borderId="0"/>
    <xf numFmtId="0" fontId="128" fillId="0" borderId="0"/>
    <xf numFmtId="0" fontId="12" fillId="0" borderId="0"/>
    <xf numFmtId="3" fontId="12" fillId="0" borderId="0"/>
    <xf numFmtId="3" fontId="12" fillId="0" borderId="0"/>
    <xf numFmtId="3" fontId="12" fillId="0" borderId="0"/>
    <xf numFmtId="3" fontId="12" fillId="0" borderId="0"/>
    <xf numFmtId="0" fontId="148" fillId="0" borderId="0"/>
    <xf numFmtId="3" fontId="12" fillId="0" borderId="0"/>
    <xf numFmtId="3" fontId="12" fillId="0" borderId="0"/>
    <xf numFmtId="3" fontId="12" fillId="0" borderId="0"/>
    <xf numFmtId="3" fontId="12" fillId="0" borderId="0"/>
    <xf numFmtId="0"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0" fontId="12" fillId="0" borderId="0"/>
    <xf numFmtId="0" fontId="12" fillId="0" borderId="0"/>
    <xf numFmtId="0" fontId="149" fillId="0" borderId="0"/>
    <xf numFmtId="0" fontId="12" fillId="0" borderId="0"/>
    <xf numFmtId="0" fontId="12" fillId="0" borderId="0"/>
    <xf numFmtId="0" fontId="149" fillId="0" borderId="0"/>
    <xf numFmtId="0" fontId="12" fillId="0" borderId="0"/>
    <xf numFmtId="0"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0" fontId="12" fillId="0" borderId="0"/>
    <xf numFmtId="0" fontId="12" fillId="0" borderId="0"/>
    <xf numFmtId="3" fontId="12" fillId="0" borderId="0"/>
    <xf numFmtId="0" fontId="12" fillId="0" borderId="0"/>
    <xf numFmtId="0" fontId="148"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8" fillId="0" borderId="0"/>
    <xf numFmtId="0" fontId="12" fillId="0" borderId="0"/>
    <xf numFmtId="0" fontId="12" fillId="0" borderId="0"/>
    <xf numFmtId="0" fontId="12" fillId="0" borderId="0"/>
    <xf numFmtId="0" fontId="12" fillId="0" borderId="0"/>
    <xf numFmtId="0" fontId="12" fillId="0" borderId="0"/>
    <xf numFmtId="0" fontId="12" fillId="0" borderId="0"/>
    <xf numFmtId="3" fontId="12" fillId="0" borderId="0"/>
    <xf numFmtId="3" fontId="12" fillId="0" borderId="0"/>
    <xf numFmtId="0" fontId="128" fillId="0" borderId="0"/>
    <xf numFmtId="0" fontId="12" fillId="0" borderId="0"/>
    <xf numFmtId="0" fontId="12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8" fillId="0" borderId="0"/>
    <xf numFmtId="0" fontId="128" fillId="0" borderId="0"/>
    <xf numFmtId="0" fontId="12" fillId="0" borderId="0"/>
    <xf numFmtId="0" fontId="148" fillId="0" borderId="0"/>
    <xf numFmtId="0" fontId="128" fillId="0" borderId="0"/>
    <xf numFmtId="0" fontId="12" fillId="0" borderId="0"/>
    <xf numFmtId="0" fontId="148" fillId="0" borderId="0"/>
    <xf numFmtId="0" fontId="128" fillId="0" borderId="0"/>
    <xf numFmtId="0" fontId="12" fillId="0" borderId="0"/>
    <xf numFmtId="0" fontId="148" fillId="0" borderId="0"/>
    <xf numFmtId="0" fontId="3" fillId="0" borderId="0" applyProtection="0"/>
    <xf numFmtId="0" fontId="2" fillId="0" borderId="0"/>
    <xf numFmtId="0" fontId="12" fillId="0" borderId="0"/>
    <xf numFmtId="0" fontId="12" fillId="0" borderId="0"/>
    <xf numFmtId="0" fontId="12" fillId="0" borderId="0"/>
    <xf numFmtId="172" fontId="3" fillId="0" borderId="0" applyProtection="0"/>
    <xf numFmtId="0" fontId="2" fillId="0" borderId="0"/>
    <xf numFmtId="172" fontId="3" fillId="0" borderId="0" applyProtection="0"/>
    <xf numFmtId="172" fontId="3" fillId="0" borderId="0" applyProtection="0"/>
    <xf numFmtId="0" fontId="70" fillId="0" borderId="0"/>
    <xf numFmtId="0" fontId="12" fillId="0" borderId="0"/>
    <xf numFmtId="0" fontId="3" fillId="0" borderId="0"/>
    <xf numFmtId="0" fontId="12" fillId="0" borderId="0"/>
    <xf numFmtId="0" fontId="2" fillId="0" borderId="0"/>
    <xf numFmtId="0" fontId="129" fillId="0" borderId="0"/>
    <xf numFmtId="0" fontId="110" fillId="0" borderId="0"/>
    <xf numFmtId="0" fontId="3" fillId="23" borderId="8" applyNumberFormat="0" applyFont="0" applyAlignment="0" applyProtection="0"/>
    <xf numFmtId="0" fontId="3" fillId="23" borderId="8" applyNumberFormat="0" applyFont="0" applyAlignment="0" applyProtection="0"/>
    <xf numFmtId="0" fontId="58" fillId="20" borderId="9" applyNumberFormat="0" applyAlignment="0" applyProtection="0"/>
    <xf numFmtId="0" fontId="58" fillId="20" borderId="9" applyNumberFormat="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8"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8" fillId="0" borderId="0" applyFont="0" applyFill="0" applyBorder="0" applyAlignment="0" applyProtection="0"/>
    <xf numFmtId="9" fontId="12" fillId="0" borderId="0" applyFont="0" applyFill="0" applyBorder="0" applyAlignment="0" applyProtection="0"/>
    <xf numFmtId="9" fontId="148" fillId="0" borderId="0" applyFont="0" applyFill="0" applyBorder="0" applyAlignment="0" applyProtection="0"/>
    <xf numFmtId="9" fontId="12" fillId="0" borderId="0" applyFont="0" applyFill="0" applyBorder="0" applyAlignment="0" applyProtection="0"/>
    <xf numFmtId="9" fontId="148" fillId="0" borderId="0" applyFont="0" applyFill="0" applyBorder="0" applyAlignment="0" applyProtection="0"/>
    <xf numFmtId="0" fontId="33" fillId="0" borderId="0" applyNumberFormat="0" applyFont="0" applyFill="0" applyBorder="0" applyAlignment="0" applyProtection="0">
      <alignment horizontal="left"/>
    </xf>
    <xf numFmtId="15" fontId="33" fillId="0" borderId="0" applyFont="0" applyFill="0" applyBorder="0" applyAlignment="0" applyProtection="0"/>
    <xf numFmtId="4" fontId="33" fillId="0" borderId="0" applyFont="0" applyFill="0" applyBorder="0" applyAlignment="0" applyProtection="0"/>
    <xf numFmtId="3" fontId="12" fillId="0" borderId="0">
      <alignment horizontal="left" vertical="top"/>
    </xf>
    <xf numFmtId="0" fontId="34" fillId="0" borderId="6">
      <alignment horizontal="center"/>
    </xf>
    <xf numFmtId="3" fontId="33" fillId="0" borderId="0" applyFont="0" applyFill="0" applyBorder="0" applyAlignment="0" applyProtection="0"/>
    <xf numFmtId="0" fontId="33" fillId="24" borderId="0" applyNumberFormat="0" applyFont="0" applyBorder="0" applyAlignment="0" applyProtection="0"/>
    <xf numFmtId="3" fontId="12" fillId="0" borderId="0">
      <alignment horizontal="right" vertical="top"/>
    </xf>
    <xf numFmtId="41" fontId="5" fillId="25" borderId="10" applyFill="0"/>
    <xf numFmtId="0" fontId="59" fillId="0" borderId="0">
      <alignment horizontal="left" indent="7"/>
    </xf>
    <xf numFmtId="41" fontId="5" fillId="0" borderId="10" applyFill="0">
      <alignment horizontal="left" indent="2"/>
    </xf>
    <xf numFmtId="172" fontId="25" fillId="0" borderId="11" applyFill="0">
      <alignment horizontal="right"/>
    </xf>
    <xf numFmtId="0" fontId="9" fillId="0" borderId="12" applyNumberFormat="0" applyFont="0" applyBorder="0">
      <alignment horizontal="right"/>
    </xf>
    <xf numFmtId="0" fontId="60" fillId="0" borderId="0" applyFill="0"/>
    <xf numFmtId="0" fontId="6" fillId="0" borderId="0" applyFill="0"/>
    <xf numFmtId="4" fontId="25" fillId="0" borderId="11" applyFill="0"/>
    <xf numFmtId="0" fontId="12" fillId="0" borderId="0" applyNumberFormat="0" applyFont="0" applyBorder="0" applyAlignment="0"/>
    <xf numFmtId="0" fontId="42" fillId="0" borderId="0" applyFill="0">
      <alignment horizontal="left" indent="1"/>
    </xf>
    <xf numFmtId="0" fontId="61" fillId="0" borderId="0" applyFill="0">
      <alignment horizontal="left" indent="1"/>
    </xf>
    <xf numFmtId="4" fontId="24" fillId="0" borderId="0" applyFill="0"/>
    <xf numFmtId="0" fontId="12" fillId="0" borderId="0" applyNumberFormat="0" applyFont="0" applyFill="0" applyBorder="0" applyAlignment="0"/>
    <xf numFmtId="0" fontId="42" fillId="0" borderId="0" applyFill="0">
      <alignment horizontal="left" indent="2"/>
    </xf>
    <xf numFmtId="0" fontId="6" fillId="0" borderId="0" applyFill="0">
      <alignment horizontal="left" indent="2"/>
    </xf>
    <xf numFmtId="4" fontId="24" fillId="0" borderId="0" applyFill="0"/>
    <xf numFmtId="0" fontId="12" fillId="0" borderId="0" applyNumberFormat="0" applyFont="0" applyBorder="0" applyAlignment="0"/>
    <xf numFmtId="0" fontId="62" fillId="0" borderId="0">
      <alignment horizontal="left" indent="3"/>
    </xf>
    <xf numFmtId="0" fontId="63" fillId="0" borderId="0" applyFill="0">
      <alignment horizontal="left" indent="3"/>
    </xf>
    <xf numFmtId="4" fontId="24" fillId="0" borderId="0" applyFill="0"/>
    <xf numFmtId="0" fontId="12" fillId="0" borderId="0" applyNumberFormat="0" applyFont="0" applyBorder="0" applyAlignment="0"/>
    <xf numFmtId="0" fontId="16" fillId="0" borderId="0">
      <alignment horizontal="left" indent="4"/>
    </xf>
    <xf numFmtId="0" fontId="12" fillId="0" borderId="0" applyFill="0">
      <alignment horizontal="left" indent="4"/>
    </xf>
    <xf numFmtId="4" fontId="43" fillId="0" borderId="0" applyFill="0"/>
    <xf numFmtId="0" fontId="12" fillId="0" borderId="0" applyNumberFormat="0" applyFont="0" applyBorder="0" applyAlignment="0"/>
    <xf numFmtId="0" fontId="44" fillId="0" borderId="0">
      <alignment horizontal="left" indent="5"/>
    </xf>
    <xf numFmtId="0" fontId="45" fillId="0" borderId="0" applyFill="0">
      <alignment horizontal="left" indent="5"/>
    </xf>
    <xf numFmtId="4" fontId="46" fillId="0" borderId="0" applyFill="0"/>
    <xf numFmtId="0" fontId="12" fillId="0" borderId="0" applyNumberFormat="0" applyFont="0" applyFill="0" applyBorder="0" applyAlignment="0"/>
    <xf numFmtId="0" fontId="47" fillId="0" borderId="0" applyFill="0">
      <alignment horizontal="left" indent="6"/>
    </xf>
    <xf numFmtId="0" fontId="43" fillId="0" borderId="0" applyFill="0">
      <alignment horizontal="left" indent="6"/>
    </xf>
    <xf numFmtId="0" fontId="64" fillId="0" borderId="0" applyNumberFormat="0" applyFill="0" applyBorder="0" applyAlignment="0" applyProtection="0"/>
    <xf numFmtId="0" fontId="64" fillId="0" borderId="0" applyNumberForma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2" fillId="0" borderId="0"/>
    <xf numFmtId="43" fontId="2"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cellStyleXfs>
  <cellXfs count="1233">
    <xf numFmtId="0" fontId="0" fillId="0" borderId="0" xfId="0"/>
    <xf numFmtId="0" fontId="0" fillId="0" borderId="0" xfId="0" applyAlignment="1">
      <alignment horizontal="center"/>
    </xf>
    <xf numFmtId="3" fontId="5" fillId="0" borderId="0" xfId="0" applyNumberFormat="1" applyFont="1" applyAlignment="1">
      <alignment horizontal="center"/>
    </xf>
    <xf numFmtId="0" fontId="12" fillId="0" borderId="0" xfId="0" applyFont="1"/>
    <xf numFmtId="0" fontId="9" fillId="0" borderId="0" xfId="248" applyFont="1" applyAlignment="1">
      <alignment horizontal="center"/>
    </xf>
    <xf numFmtId="0" fontId="15" fillId="0" borderId="0" xfId="248" applyFont="1"/>
    <xf numFmtId="0" fontId="4" fillId="0" borderId="0" xfId="0" applyFont="1"/>
    <xf numFmtId="0" fontId="12" fillId="0" borderId="0" xfId="248" applyFont="1"/>
    <xf numFmtId="0" fontId="15" fillId="0" borderId="0" xfId="248" applyFont="1" applyAlignment="1">
      <alignment horizontal="left"/>
    </xf>
    <xf numFmtId="3" fontId="12" fillId="0" borderId="0" xfId="0" applyNumberFormat="1" applyFont="1"/>
    <xf numFmtId="0" fontId="5" fillId="0" borderId="0" xfId="248" applyFont="1" applyAlignment="1">
      <alignment horizontal="right"/>
    </xf>
    <xf numFmtId="40" fontId="12" fillId="0" borderId="0" xfId="0" applyNumberFormat="1" applyFont="1"/>
    <xf numFmtId="0" fontId="5" fillId="0" borderId="0" xfId="248" applyFont="1"/>
    <xf numFmtId="0" fontId="9" fillId="0" borderId="0" xfId="248" applyFont="1" applyAlignment="1">
      <alignment horizontal="left"/>
    </xf>
    <xf numFmtId="0" fontId="12" fillId="0" borderId="0" xfId="248" applyFont="1" applyAlignment="1">
      <alignment horizontal="left"/>
    </xf>
    <xf numFmtId="0" fontId="6" fillId="0" borderId="0" xfId="248" applyFont="1" applyAlignment="1">
      <alignment horizontal="center"/>
    </xf>
    <xf numFmtId="0" fontId="26" fillId="0" borderId="0" xfId="0" applyFont="1"/>
    <xf numFmtId="0" fontId="5" fillId="0" borderId="0" xfId="0" applyFont="1" applyAlignment="1">
      <alignment horizontal="center"/>
    </xf>
    <xf numFmtId="3" fontId="19" fillId="0" borderId="0" xfId="0" applyNumberFormat="1" applyFont="1"/>
    <xf numFmtId="41" fontId="27" fillId="0" borderId="0" xfId="248" applyNumberFormat="1" applyFont="1"/>
    <xf numFmtId="0" fontId="28" fillId="0" borderId="0" xfId="248" applyFont="1" applyAlignment="1">
      <alignment horizontal="left"/>
    </xf>
    <xf numFmtId="0" fontId="26" fillId="0" borderId="0" xfId="248" applyFont="1"/>
    <xf numFmtId="41" fontId="26" fillId="0" borderId="0" xfId="248" applyNumberFormat="1" applyFont="1"/>
    <xf numFmtId="41" fontId="26" fillId="0" borderId="0" xfId="248" applyNumberFormat="1" applyFont="1" applyAlignment="1">
      <alignment vertical="top"/>
    </xf>
    <xf numFmtId="181" fontId="26" fillId="0" borderId="0" xfId="248" applyNumberFormat="1" applyFont="1"/>
    <xf numFmtId="0" fontId="26" fillId="0" borderId="0" xfId="248" applyFont="1" applyAlignment="1">
      <alignment horizontal="left"/>
    </xf>
    <xf numFmtId="0" fontId="29" fillId="0" borderId="0" xfId="248" applyFont="1"/>
    <xf numFmtId="0" fontId="26" fillId="0" borderId="0" xfId="248" applyFont="1" applyAlignment="1">
      <alignment horizontal="center"/>
    </xf>
    <xf numFmtId="0" fontId="10" fillId="0" borderId="0" xfId="248" applyFont="1" applyAlignment="1">
      <alignment horizontal="center"/>
    </xf>
    <xf numFmtId="173" fontId="26" fillId="0" borderId="0" xfId="248" applyNumberFormat="1" applyFont="1"/>
    <xf numFmtId="173" fontId="26" fillId="0" borderId="0" xfId="248" applyNumberFormat="1" applyFont="1" applyAlignment="1">
      <alignment vertical="top"/>
    </xf>
    <xf numFmtId="41" fontId="26" fillId="0" borderId="13" xfId="248" applyNumberFormat="1" applyFont="1" applyBorder="1"/>
    <xf numFmtId="173" fontId="6" fillId="0" borderId="0" xfId="86" applyNumberFormat="1" applyFont="1" applyFill="1" applyAlignment="1">
      <alignment horizontal="center"/>
    </xf>
    <xf numFmtId="0" fontId="5" fillId="0" borderId="0" xfId="248" applyFont="1" applyAlignment="1">
      <alignment horizontal="center"/>
    </xf>
    <xf numFmtId="0" fontId="30" fillId="0" borderId="0" xfId="248" applyFont="1"/>
    <xf numFmtId="41" fontId="5" fillId="0" borderId="13" xfId="248" applyNumberFormat="1" applyFont="1" applyBorder="1"/>
    <xf numFmtId="38" fontId="12" fillId="0" borderId="0" xfId="0" applyNumberFormat="1" applyFont="1"/>
    <xf numFmtId="40" fontId="26" fillId="0" borderId="0" xfId="248" applyNumberFormat="1" applyFont="1"/>
    <xf numFmtId="43" fontId="5" fillId="0" borderId="0" xfId="248" applyNumberFormat="1" applyFont="1"/>
    <xf numFmtId="3" fontId="5" fillId="0" borderId="0" xfId="0" applyNumberFormat="1" applyFont="1"/>
    <xf numFmtId="41" fontId="27" fillId="25" borderId="0" xfId="248" applyNumberFormat="1" applyFont="1" applyFill="1"/>
    <xf numFmtId="0" fontId="32" fillId="0" borderId="0" xfId="0" applyFont="1"/>
    <xf numFmtId="0" fontId="19" fillId="0" borderId="0" xfId="248" applyFont="1"/>
    <xf numFmtId="0" fontId="12" fillId="0" borderId="0" xfId="248" applyFont="1" applyAlignment="1">
      <alignment horizontal="center"/>
    </xf>
    <xf numFmtId="0" fontId="5" fillId="0" borderId="0" xfId="207" applyFont="1" applyAlignment="1">
      <alignment horizontal="center"/>
    </xf>
    <xf numFmtId="49" fontId="5" fillId="0" borderId="0" xfId="248" applyNumberFormat="1" applyFont="1" applyAlignment="1">
      <alignment horizontal="center"/>
    </xf>
    <xf numFmtId="3" fontId="10" fillId="0" borderId="0" xfId="0" applyNumberFormat="1" applyFont="1" applyAlignment="1">
      <alignment horizontal="center"/>
    </xf>
    <xf numFmtId="0" fontId="12" fillId="0" borderId="0" xfId="0" applyFont="1" applyAlignment="1">
      <alignment horizontal="center"/>
    </xf>
    <xf numFmtId="0" fontId="71" fillId="0" borderId="0" xfId="256" applyFont="1"/>
    <xf numFmtId="185" fontId="18" fillId="0" borderId="0" xfId="256" applyNumberFormat="1" applyFont="1" applyAlignment="1">
      <alignment horizontal="center"/>
    </xf>
    <xf numFmtId="0" fontId="12" fillId="0" borderId="0" xfId="256" applyFont="1"/>
    <xf numFmtId="0" fontId="18" fillId="0" borderId="0" xfId="256" applyFont="1"/>
    <xf numFmtId="0" fontId="18" fillId="0" borderId="0" xfId="256" applyFont="1" applyAlignment="1">
      <alignment horizontal="center"/>
    </xf>
    <xf numFmtId="0" fontId="73" fillId="0" borderId="0" xfId="256" applyFont="1"/>
    <xf numFmtId="0" fontId="74" fillId="0" borderId="0" xfId="256" applyFont="1"/>
    <xf numFmtId="185" fontId="12" fillId="0" borderId="0" xfId="256" applyNumberFormat="1" applyFont="1"/>
    <xf numFmtId="0" fontId="75" fillId="0" borderId="0" xfId="253" applyFont="1" applyAlignment="1">
      <alignment horizontal="center"/>
    </xf>
    <xf numFmtId="0" fontId="75" fillId="0" borderId="0" xfId="253" applyFont="1" applyAlignment="1">
      <alignment horizontal="left" indent="2"/>
    </xf>
    <xf numFmtId="39" fontId="75" fillId="0" borderId="0" xfId="253" applyNumberFormat="1" applyFont="1"/>
    <xf numFmtId="0" fontId="12" fillId="0" borderId="0" xfId="256" applyFont="1" applyAlignment="1">
      <alignment horizontal="center"/>
    </xf>
    <xf numFmtId="173" fontId="71" fillId="0" borderId="14" xfId="86" applyNumberFormat="1" applyFont="1" applyBorder="1"/>
    <xf numFmtId="0" fontId="71" fillId="0" borderId="0" xfId="0" applyFont="1"/>
    <xf numFmtId="173" fontId="0" fillId="0" borderId="0" xfId="0" applyNumberFormat="1"/>
    <xf numFmtId="0" fontId="80" fillId="0" borderId="0" xfId="248" applyFont="1" applyAlignment="1">
      <alignment horizontal="left"/>
    </xf>
    <xf numFmtId="0" fontId="4" fillId="0" borderId="0" xfId="0" applyFont="1" applyAlignment="1">
      <alignment horizontal="center"/>
    </xf>
    <xf numFmtId="0" fontId="4" fillId="0" borderId="0" xfId="207" applyFont="1" applyAlignment="1">
      <alignment horizontal="center"/>
    </xf>
    <xf numFmtId="173" fontId="71" fillId="0" borderId="0" xfId="256" applyNumberFormat="1" applyFont="1"/>
    <xf numFmtId="3" fontId="4" fillId="0" borderId="0" xfId="0" applyNumberFormat="1" applyFont="1" applyAlignment="1">
      <alignment horizontal="center"/>
    </xf>
    <xf numFmtId="0" fontId="12" fillId="0" borderId="0" xfId="0" applyFont="1" applyAlignment="1">
      <alignment horizontal="centerContinuous"/>
    </xf>
    <xf numFmtId="0" fontId="17" fillId="0" borderId="0" xfId="0" applyFont="1" applyAlignment="1">
      <alignment horizontal="center"/>
    </xf>
    <xf numFmtId="0" fontId="9" fillId="0" borderId="0" xfId="0" applyFont="1" applyAlignment="1">
      <alignment horizontal="center"/>
    </xf>
    <xf numFmtId="0" fontId="0" fillId="0" borderId="0" xfId="0" applyAlignment="1">
      <alignment horizontal="left"/>
    </xf>
    <xf numFmtId="6" fontId="0" fillId="0" borderId="0" xfId="0" applyNumberFormat="1" applyAlignment="1">
      <alignment horizontal="right"/>
    </xf>
    <xf numFmtId="6" fontId="0" fillId="0" borderId="0" xfId="0" applyNumberFormat="1"/>
    <xf numFmtId="173" fontId="0" fillId="0" borderId="0" xfId="86" applyNumberFormat="1" applyFont="1"/>
    <xf numFmtId="0" fontId="2" fillId="0" borderId="0" xfId="248" applyAlignment="1">
      <alignment horizontal="left"/>
    </xf>
    <xf numFmtId="0" fontId="2" fillId="0" borderId="0" xfId="248"/>
    <xf numFmtId="0" fontId="14" fillId="0" borderId="0" xfId="248" applyFont="1"/>
    <xf numFmtId="0" fontId="83" fillId="0" borderId="0" xfId="248" applyFont="1"/>
    <xf numFmtId="9" fontId="10" fillId="0" borderId="0" xfId="248" quotePrefix="1" applyNumberFormat="1" applyFont="1" applyAlignment="1">
      <alignment horizontal="center"/>
    </xf>
    <xf numFmtId="0" fontId="4" fillId="0" borderId="0" xfId="256" applyFont="1" applyAlignment="1">
      <alignment horizontal="center"/>
    </xf>
    <xf numFmtId="0" fontId="4" fillId="0" borderId="0" xfId="256" applyFont="1"/>
    <xf numFmtId="185" fontId="4" fillId="0" borderId="0" xfId="256" applyNumberFormat="1" applyFont="1" applyAlignment="1">
      <alignment horizontal="center"/>
    </xf>
    <xf numFmtId="0" fontId="4" fillId="0" borderId="11" xfId="256" applyFont="1" applyBorder="1" applyAlignment="1">
      <alignment horizontal="center"/>
    </xf>
    <xf numFmtId="185" fontId="4" fillId="0" borderId="11" xfId="256" applyNumberFormat="1" applyFont="1" applyBorder="1" applyAlignment="1">
      <alignment horizontal="center"/>
    </xf>
    <xf numFmtId="174" fontId="0" fillId="0" borderId="0" xfId="115" applyNumberFormat="1" applyFont="1" applyAlignment="1">
      <alignment horizontal="center"/>
    </xf>
    <xf numFmtId="0" fontId="9" fillId="0" borderId="0" xfId="0" applyFont="1" applyAlignment="1">
      <alignment horizontal="left"/>
    </xf>
    <xf numFmtId="6" fontId="9" fillId="0" borderId="0" xfId="0" applyNumberFormat="1" applyFont="1" applyAlignment="1">
      <alignment horizontal="right"/>
    </xf>
    <xf numFmtId="164" fontId="0" fillId="0" borderId="0" xfId="267" applyNumberFormat="1" applyFont="1"/>
    <xf numFmtId="173" fontId="89" fillId="0" borderId="0" xfId="256" applyNumberFormat="1" applyFont="1"/>
    <xf numFmtId="0" fontId="23" fillId="0" borderId="0" xfId="248" applyFont="1" applyAlignment="1">
      <alignment horizontal="center"/>
    </xf>
    <xf numFmtId="0" fontId="92" fillId="0" borderId="0" xfId="248" applyFont="1"/>
    <xf numFmtId="173" fontId="0" fillId="0" borderId="14" xfId="0" applyNumberFormat="1" applyBorder="1"/>
    <xf numFmtId="9" fontId="0" fillId="0" borderId="0" xfId="267" applyFont="1"/>
    <xf numFmtId="0" fontId="94" fillId="0" borderId="0" xfId="0" applyFont="1" applyAlignment="1">
      <alignment horizontal="center" wrapText="1"/>
    </xf>
    <xf numFmtId="0" fontId="18" fillId="0" borderId="0" xfId="253" applyFont="1" applyAlignment="1">
      <alignment horizontal="center"/>
    </xf>
    <xf numFmtId="190" fontId="98" fillId="0" borderId="0" xfId="207" applyNumberFormat="1" applyFont="1" applyAlignment="1">
      <alignment horizontal="center"/>
    </xf>
    <xf numFmtId="38" fontId="0" fillId="0" borderId="0" xfId="0" applyNumberFormat="1"/>
    <xf numFmtId="0" fontId="2" fillId="0" borderId="0" xfId="0" applyFont="1"/>
    <xf numFmtId="0" fontId="4" fillId="0" borderId="11" xfId="256" applyFont="1" applyBorder="1"/>
    <xf numFmtId="173" fontId="78" fillId="0" borderId="0" xfId="256" applyNumberFormat="1" applyFont="1"/>
    <xf numFmtId="0" fontId="71" fillId="0" borderId="0" xfId="256" applyFont="1" applyAlignment="1">
      <alignment horizontal="center"/>
    </xf>
    <xf numFmtId="3" fontId="78" fillId="0" borderId="0" xfId="256" applyNumberFormat="1" applyFont="1"/>
    <xf numFmtId="38" fontId="22" fillId="0" borderId="0" xfId="0" applyNumberFormat="1" applyFont="1"/>
    <xf numFmtId="176" fontId="3" fillId="0" borderId="15" xfId="258" applyNumberFormat="1" applyBorder="1"/>
    <xf numFmtId="176" fontId="3" fillId="0" borderId="0" xfId="258" applyNumberFormat="1"/>
    <xf numFmtId="49" fontId="5" fillId="0" borderId="0" xfId="86" applyNumberFormat="1" applyFont="1" applyAlignment="1">
      <alignment horizontal="center"/>
    </xf>
    <xf numFmtId="0" fontId="99" fillId="0" borderId="0" xfId="256" applyFont="1"/>
    <xf numFmtId="0" fontId="119" fillId="0" borderId="0" xfId="256" applyFont="1"/>
    <xf numFmtId="0" fontId="32" fillId="0" borderId="0" xfId="248" applyFont="1"/>
    <xf numFmtId="0" fontId="107" fillId="0" borderId="0" xfId="248" applyFont="1" applyAlignment="1">
      <alignment horizontal="center"/>
    </xf>
    <xf numFmtId="0" fontId="94" fillId="0" borderId="0" xfId="0" applyFont="1" applyAlignment="1">
      <alignment horizontal="center"/>
    </xf>
    <xf numFmtId="10" fontId="3" fillId="0" borderId="0" xfId="258" applyNumberFormat="1"/>
    <xf numFmtId="41" fontId="19" fillId="30" borderId="6" xfId="255" applyNumberFormat="1" applyFont="1" applyFill="1" applyBorder="1" applyProtection="1">
      <protection locked="0"/>
    </xf>
    <xf numFmtId="3" fontId="19" fillId="30" borderId="0" xfId="255" applyNumberFormat="1" applyFont="1" applyFill="1" applyProtection="1">
      <protection locked="0"/>
    </xf>
    <xf numFmtId="41" fontId="5" fillId="30" borderId="0" xfId="255" applyNumberFormat="1" applyFont="1" applyFill="1" applyProtection="1">
      <protection locked="0"/>
    </xf>
    <xf numFmtId="173" fontId="19" fillId="30" borderId="0" xfId="86" applyNumberFormat="1" applyFont="1" applyFill="1" applyAlignment="1" applyProtection="1">
      <alignment horizontal="right"/>
      <protection locked="0"/>
    </xf>
    <xf numFmtId="41" fontId="19" fillId="30" borderId="0" xfId="255" applyNumberFormat="1" applyFont="1" applyFill="1" applyProtection="1">
      <protection locked="0"/>
    </xf>
    <xf numFmtId="173" fontId="8" fillId="30" borderId="0" xfId="86" applyNumberFormat="1" applyFont="1" applyFill="1" applyProtection="1">
      <protection locked="0"/>
    </xf>
    <xf numFmtId="173" fontId="8" fillId="30" borderId="11" xfId="86" applyNumberFormat="1" applyFont="1" applyFill="1" applyBorder="1" applyAlignment="1" applyProtection="1">
      <protection locked="0"/>
    </xf>
    <xf numFmtId="10" fontId="19" fillId="30" borderId="0" xfId="255" applyNumberFormat="1" applyFont="1" applyFill="1" applyProtection="1">
      <protection locked="0"/>
    </xf>
    <xf numFmtId="41" fontId="19" fillId="30" borderId="0" xfId="255" applyNumberFormat="1" applyFont="1" applyFill="1" applyAlignment="1" applyProtection="1">
      <alignment vertical="center"/>
      <protection locked="0"/>
    </xf>
    <xf numFmtId="0" fontId="6" fillId="0" borderId="0" xfId="0" applyFont="1"/>
    <xf numFmtId="10" fontId="19" fillId="31" borderId="0" xfId="267" applyNumberFormat="1" applyFont="1" applyFill="1" applyAlignment="1" applyProtection="1">
      <protection locked="0"/>
    </xf>
    <xf numFmtId="173" fontId="78" fillId="32" borderId="0" xfId="256" applyNumberFormat="1" applyFont="1" applyFill="1"/>
    <xf numFmtId="172" fontId="3" fillId="0" borderId="0" xfId="255" applyProtection="1"/>
    <xf numFmtId="172" fontId="5" fillId="0" borderId="0" xfId="255" applyFont="1" applyProtection="1"/>
    <xf numFmtId="0" fontId="6" fillId="0" borderId="0" xfId="255" applyNumberFormat="1" applyFont="1" applyAlignment="1" applyProtection="1">
      <alignment horizontal="left"/>
    </xf>
    <xf numFmtId="14" fontId="6" fillId="0" borderId="0" xfId="255" applyNumberFormat="1" applyFont="1" applyProtection="1"/>
    <xf numFmtId="172" fontId="6" fillId="0" borderId="0" xfId="255" applyFont="1" applyProtection="1"/>
    <xf numFmtId="0" fontId="19" fillId="32" borderId="0" xfId="86" applyNumberFormat="1" applyFont="1" applyFill="1" applyAlignment="1" applyProtection="1"/>
    <xf numFmtId="0" fontId="5" fillId="0" borderId="0" xfId="255" applyNumberFormat="1" applyFont="1" applyProtection="1"/>
    <xf numFmtId="0" fontId="5" fillId="0" borderId="0" xfId="0" applyFont="1"/>
    <xf numFmtId="0" fontId="5" fillId="0" borderId="0" xfId="255" applyNumberFormat="1" applyFont="1" applyAlignment="1" applyProtection="1">
      <alignment horizontal="right"/>
    </xf>
    <xf numFmtId="0" fontId="19" fillId="0" borderId="0" xfId="86" applyNumberFormat="1" applyFont="1" applyFill="1" applyAlignment="1" applyProtection="1"/>
    <xf numFmtId="3" fontId="5" fillId="0" borderId="0" xfId="255" applyNumberFormat="1" applyFont="1" applyProtection="1"/>
    <xf numFmtId="0" fontId="3" fillId="0" borderId="0" xfId="255" applyNumberFormat="1" applyAlignment="1" applyProtection="1">
      <alignment horizontal="center"/>
    </xf>
    <xf numFmtId="0" fontId="5" fillId="0" borderId="0" xfId="255" applyNumberFormat="1" applyFont="1" applyAlignment="1" applyProtection="1">
      <alignment horizontal="center"/>
    </xf>
    <xf numFmtId="49" fontId="5" fillId="0" borderId="0" xfId="255" applyNumberFormat="1" applyFont="1" applyAlignment="1" applyProtection="1">
      <alignment horizontal="center"/>
    </xf>
    <xf numFmtId="3" fontId="21" fillId="0" borderId="0" xfId="0" applyNumberFormat="1" applyFont="1" applyAlignment="1">
      <alignment horizontal="center"/>
    </xf>
    <xf numFmtId="49" fontId="5" fillId="0" borderId="0" xfId="255" applyNumberFormat="1" applyFont="1" applyProtection="1"/>
    <xf numFmtId="39" fontId="5" fillId="0" borderId="0" xfId="86" applyNumberFormat="1" applyFont="1" applyAlignment="1" applyProtection="1">
      <alignment horizontal="center"/>
    </xf>
    <xf numFmtId="0" fontId="3" fillId="0" borderId="6" xfId="255" applyNumberFormat="1" applyBorder="1" applyAlignment="1" applyProtection="1">
      <alignment horizontal="center"/>
    </xf>
    <xf numFmtId="0" fontId="5" fillId="0" borderId="6" xfId="255" applyNumberFormat="1" applyFont="1" applyBorder="1" applyAlignment="1" applyProtection="1">
      <alignment horizontal="center"/>
    </xf>
    <xf numFmtId="0" fontId="5" fillId="0" borderId="0" xfId="255" applyNumberFormat="1" applyFont="1" applyAlignment="1" applyProtection="1">
      <alignment horizontal="left"/>
    </xf>
    <xf numFmtId="170" fontId="5" fillId="0" borderId="0" xfId="255" applyNumberFormat="1" applyFont="1" applyProtection="1"/>
    <xf numFmtId="3" fontId="5" fillId="0" borderId="0" xfId="255" applyNumberFormat="1" applyFont="1" applyAlignment="1" applyProtection="1">
      <alignment horizontal="left"/>
    </xf>
    <xf numFmtId="0" fontId="5" fillId="0" borderId="6" xfId="255" applyNumberFormat="1" applyFont="1" applyBorder="1" applyAlignment="1" applyProtection="1">
      <alignment horizontal="centerContinuous"/>
    </xf>
    <xf numFmtId="41" fontId="5" fillId="0" borderId="0" xfId="255" applyNumberFormat="1" applyFont="1" applyProtection="1"/>
    <xf numFmtId="3" fontId="5" fillId="0" borderId="0" xfId="255" applyNumberFormat="1" applyFont="1" applyAlignment="1" applyProtection="1">
      <alignment horizontal="center"/>
    </xf>
    <xf numFmtId="165" fontId="5" fillId="0" borderId="0" xfId="255" applyNumberFormat="1" applyFont="1" applyAlignment="1" applyProtection="1">
      <alignment horizontal="right"/>
    </xf>
    <xf numFmtId="42" fontId="5" fillId="0" borderId="0" xfId="255" applyNumberFormat="1" applyFont="1" applyProtection="1"/>
    <xf numFmtId="0" fontId="5" fillId="0" borderId="0" xfId="0" applyFont="1" applyAlignment="1">
      <alignment wrapText="1"/>
    </xf>
    <xf numFmtId="174" fontId="5" fillId="0" borderId="14" xfId="255" applyNumberFormat="1" applyFont="1" applyBorder="1" applyProtection="1"/>
    <xf numFmtId="172" fontId="77" fillId="0" borderId="0" xfId="255" applyFont="1" applyAlignment="1" applyProtection="1">
      <alignment horizontal="center" wrapText="1"/>
    </xf>
    <xf numFmtId="43" fontId="5" fillId="0" borderId="0" xfId="86" applyFont="1" applyProtection="1"/>
    <xf numFmtId="171" fontId="5" fillId="0" borderId="0" xfId="255" applyNumberFormat="1" applyFont="1" applyProtection="1"/>
    <xf numFmtId="10" fontId="5" fillId="0" borderId="0" xfId="255" applyNumberFormat="1" applyFont="1" applyProtection="1"/>
    <xf numFmtId="10" fontId="5" fillId="0" borderId="0" xfId="267" applyNumberFormat="1" applyFont="1" applyFill="1" applyAlignment="1" applyProtection="1"/>
    <xf numFmtId="186" fontId="5" fillId="0" borderId="0" xfId="255" applyNumberFormat="1" applyFont="1" applyProtection="1"/>
    <xf numFmtId="41" fontId="5" fillId="0" borderId="0" xfId="255" applyNumberFormat="1" applyFont="1" applyAlignment="1" applyProtection="1">
      <alignment horizontal="center"/>
    </xf>
    <xf numFmtId="41" fontId="5" fillId="0" borderId="14" xfId="255" applyNumberFormat="1" applyFont="1" applyBorder="1" applyAlignment="1" applyProtection="1">
      <alignment horizontal="center"/>
    </xf>
    <xf numFmtId="41" fontId="5" fillId="0" borderId="0" xfId="255" applyNumberFormat="1" applyFont="1" applyAlignment="1" applyProtection="1">
      <alignment horizontal="right"/>
    </xf>
    <xf numFmtId="42" fontId="5" fillId="0" borderId="0" xfId="267" applyNumberFormat="1" applyFont="1" applyAlignment="1" applyProtection="1"/>
    <xf numFmtId="43" fontId="5" fillId="0" borderId="0" xfId="255" applyNumberFormat="1" applyFont="1" applyAlignment="1" applyProtection="1">
      <alignment horizontal="right"/>
    </xf>
    <xf numFmtId="43" fontId="5" fillId="0" borderId="0" xfId="86" applyFont="1" applyAlignment="1" applyProtection="1"/>
    <xf numFmtId="172" fontId="5" fillId="0" borderId="0" xfId="255" applyFont="1" applyAlignment="1" applyProtection="1">
      <alignment horizontal="right"/>
    </xf>
    <xf numFmtId="0" fontId="32" fillId="0" borderId="0" xfId="0" applyFont="1" applyAlignment="1">
      <alignment horizontal="center"/>
    </xf>
    <xf numFmtId="49" fontId="5" fillId="0" borderId="0" xfId="255" applyNumberFormat="1" applyFont="1" applyAlignment="1" applyProtection="1">
      <alignment horizontal="left"/>
    </xf>
    <xf numFmtId="0" fontId="3" fillId="0" borderId="0" xfId="255" applyNumberFormat="1" applyAlignment="1" applyProtection="1">
      <alignment horizontal="center" vertical="center"/>
    </xf>
    <xf numFmtId="3" fontId="6" fillId="0" borderId="0" xfId="255" applyNumberFormat="1" applyFont="1" applyAlignment="1" applyProtection="1">
      <alignment horizontal="center"/>
    </xf>
    <xf numFmtId="172" fontId="6" fillId="0" borderId="0" xfId="255" applyFont="1" applyAlignment="1" applyProtection="1">
      <alignment horizontal="center"/>
    </xf>
    <xf numFmtId="49" fontId="6" fillId="0" borderId="0" xfId="255" applyNumberFormat="1" applyFont="1" applyAlignment="1" applyProtection="1">
      <alignment horizontal="center"/>
    </xf>
    <xf numFmtId="0" fontId="10" fillId="0" borderId="0" xfId="255" applyNumberFormat="1" applyFont="1" applyAlignment="1" applyProtection="1">
      <alignment horizontal="center"/>
    </xf>
    <xf numFmtId="172" fontId="10" fillId="0" borderId="0" xfId="255" applyFont="1" applyAlignment="1" applyProtection="1">
      <alignment horizontal="center"/>
    </xf>
    <xf numFmtId="3" fontId="6" fillId="0" borderId="0" xfId="255" applyNumberFormat="1" applyFont="1" applyProtection="1"/>
    <xf numFmtId="3" fontId="14" fillId="0" borderId="0" xfId="255" applyNumberFormat="1" applyFont="1" applyAlignment="1" applyProtection="1">
      <alignment horizontal="center"/>
    </xf>
    <xf numFmtId="0" fontId="28" fillId="0" borderId="0" xfId="255" applyNumberFormat="1" applyFont="1" applyProtection="1"/>
    <xf numFmtId="0" fontId="5" fillId="0" borderId="0" xfId="255" applyNumberFormat="1" applyFont="1" applyAlignment="1" applyProtection="1">
      <alignment horizontal="center" vertical="center"/>
    </xf>
    <xf numFmtId="0" fontId="5" fillId="0" borderId="0" xfId="255" applyNumberFormat="1" applyFont="1" applyAlignment="1" applyProtection="1">
      <alignment vertical="center"/>
    </xf>
    <xf numFmtId="3" fontId="5" fillId="0" borderId="0" xfId="255" applyNumberFormat="1" applyFont="1" applyAlignment="1" applyProtection="1">
      <alignment vertical="center" wrapText="1"/>
    </xf>
    <xf numFmtId="3" fontId="5" fillId="0" borderId="0" xfId="255" applyNumberFormat="1" applyFont="1" applyAlignment="1" applyProtection="1">
      <alignment vertical="center"/>
    </xf>
    <xf numFmtId="41" fontId="5" fillId="0" borderId="0" xfId="255" applyNumberFormat="1" applyFont="1" applyAlignment="1" applyProtection="1">
      <alignment vertical="center"/>
    </xf>
    <xf numFmtId="41" fontId="5" fillId="0" borderId="6" xfId="255" applyNumberFormat="1" applyFont="1" applyBorder="1" applyProtection="1"/>
    <xf numFmtId="178" fontId="5" fillId="0" borderId="0" xfId="255" applyNumberFormat="1" applyFont="1" applyProtection="1"/>
    <xf numFmtId="165" fontId="5" fillId="0" borderId="0" xfId="255" applyNumberFormat="1" applyFont="1" applyProtection="1"/>
    <xf numFmtId="0" fontId="32" fillId="0" borderId="0" xfId="0" applyFont="1" applyAlignment="1">
      <alignment wrapText="1"/>
    </xf>
    <xf numFmtId="164" fontId="5" fillId="0" borderId="0" xfId="255" applyNumberFormat="1" applyFont="1" applyAlignment="1" applyProtection="1">
      <alignment horizontal="center"/>
    </xf>
    <xf numFmtId="0" fontId="3" fillId="32" borderId="0" xfId="255" applyNumberFormat="1" applyFill="1" applyAlignment="1" applyProtection="1">
      <alignment horizontal="center"/>
    </xf>
    <xf numFmtId="3" fontId="6" fillId="0" borderId="0" xfId="255" applyNumberFormat="1" applyFont="1" applyAlignment="1" applyProtection="1">
      <alignment horizontal="right"/>
    </xf>
    <xf numFmtId="182" fontId="5" fillId="0" borderId="0" xfId="86" applyNumberFormat="1" applyFont="1" applyFill="1" applyAlignment="1" applyProtection="1"/>
    <xf numFmtId="164" fontId="5" fillId="0" borderId="0" xfId="255" applyNumberFormat="1" applyFont="1" applyAlignment="1" applyProtection="1">
      <alignment horizontal="left"/>
    </xf>
    <xf numFmtId="175" fontId="5" fillId="0" borderId="0" xfId="255" applyNumberFormat="1" applyFont="1" applyProtection="1"/>
    <xf numFmtId="41" fontId="5" fillId="0" borderId="0" xfId="255" applyNumberFormat="1" applyFont="1" applyAlignment="1" applyProtection="1">
      <alignment horizontal="center" vertical="center"/>
    </xf>
    <xf numFmtId="41" fontId="5" fillId="0" borderId="16" xfId="255" applyNumberFormat="1" applyFont="1" applyBorder="1" applyProtection="1"/>
    <xf numFmtId="0" fontId="85" fillId="0" borderId="0" xfId="255" applyNumberFormat="1" applyFont="1" applyAlignment="1" applyProtection="1">
      <alignment horizontal="center"/>
    </xf>
    <xf numFmtId="3" fontId="5" fillId="0" borderId="0" xfId="255" applyNumberFormat="1" applyFont="1" applyAlignment="1" applyProtection="1">
      <alignment horizontal="right"/>
    </xf>
    <xf numFmtId="172" fontId="5" fillId="0" borderId="0" xfId="255" applyFont="1" applyAlignment="1" applyProtection="1">
      <alignment horizontal="center"/>
    </xf>
    <xf numFmtId="0" fontId="6" fillId="0" borderId="0" xfId="255" applyNumberFormat="1" applyFont="1" applyAlignment="1" applyProtection="1">
      <alignment horizontal="center"/>
    </xf>
    <xf numFmtId="3" fontId="10" fillId="0" borderId="0" xfId="255" applyNumberFormat="1" applyFont="1" applyAlignment="1" applyProtection="1">
      <alignment horizontal="center"/>
    </xf>
    <xf numFmtId="3" fontId="10" fillId="0" borderId="0" xfId="255" applyNumberFormat="1" applyFont="1" applyProtection="1"/>
    <xf numFmtId="41" fontId="150" fillId="32" borderId="0" xfId="255" applyNumberFormat="1" applyFont="1" applyFill="1" applyAlignment="1" applyProtection="1">
      <alignment wrapText="1"/>
    </xf>
    <xf numFmtId="43" fontId="12" fillId="0" borderId="0" xfId="86" applyFont="1" applyAlignment="1" applyProtection="1"/>
    <xf numFmtId="3" fontId="5" fillId="0" borderId="0" xfId="255" applyNumberFormat="1" applyFont="1" applyAlignment="1" applyProtection="1">
      <alignment horizontal="center" vertical="center"/>
    </xf>
    <xf numFmtId="3" fontId="5" fillId="0" borderId="0" xfId="255" applyNumberFormat="1" applyFont="1" applyAlignment="1" applyProtection="1">
      <alignment horizontal="left" wrapText="1"/>
    </xf>
    <xf numFmtId="0" fontId="12" fillId="0" borderId="0" xfId="0" applyFont="1" applyAlignment="1">
      <alignment horizontal="left" wrapText="1"/>
    </xf>
    <xf numFmtId="43" fontId="5" fillId="0" borderId="0" xfId="267" applyNumberFormat="1" applyFont="1" applyFill="1" applyAlignment="1" applyProtection="1"/>
    <xf numFmtId="166" fontId="5" fillId="0" borderId="0" xfId="255" applyNumberFormat="1" applyFont="1" applyProtection="1"/>
    <xf numFmtId="182" fontId="5" fillId="0" borderId="0" xfId="86" applyNumberFormat="1" applyFont="1" applyAlignment="1" applyProtection="1"/>
    <xf numFmtId="167" fontId="5" fillId="0" borderId="0" xfId="255" applyNumberFormat="1" applyFont="1" applyProtection="1"/>
    <xf numFmtId="172" fontId="23" fillId="0" borderId="0" xfId="255" applyFont="1" applyProtection="1"/>
    <xf numFmtId="168" fontId="5" fillId="0" borderId="0" xfId="255" applyNumberFormat="1" applyFont="1" applyProtection="1"/>
    <xf numFmtId="10" fontId="5" fillId="0" borderId="0" xfId="255" applyNumberFormat="1" applyFont="1" applyAlignment="1" applyProtection="1">
      <alignment horizontal="right"/>
    </xf>
    <xf numFmtId="10" fontId="32" fillId="0" borderId="0" xfId="267" applyNumberFormat="1" applyFont="1" applyProtection="1"/>
    <xf numFmtId="3" fontId="23" fillId="0" borderId="0" xfId="255" applyNumberFormat="1" applyFont="1" applyProtection="1"/>
    <xf numFmtId="166" fontId="5" fillId="0" borderId="0" xfId="255" applyNumberFormat="1" applyFont="1" applyAlignment="1" applyProtection="1">
      <alignment horizontal="center"/>
    </xf>
    <xf numFmtId="188" fontId="23" fillId="0" borderId="0" xfId="255" applyNumberFormat="1" applyFont="1" applyAlignment="1" applyProtection="1">
      <alignment horizontal="center"/>
    </xf>
    <xf numFmtId="189" fontId="5" fillId="0" borderId="0" xfId="255" applyNumberFormat="1" applyFont="1" applyProtection="1"/>
    <xf numFmtId="179" fontId="5" fillId="0" borderId="0" xfId="255" applyNumberFormat="1" applyFont="1" applyAlignment="1" applyProtection="1">
      <alignment horizontal="right"/>
    </xf>
    <xf numFmtId="186" fontId="5" fillId="0" borderId="0" xfId="86" applyNumberFormat="1" applyFont="1" applyAlignment="1" applyProtection="1">
      <alignment horizontal="center"/>
    </xf>
    <xf numFmtId="41" fontId="23" fillId="0" borderId="0" xfId="255" applyNumberFormat="1" applyFont="1" applyProtection="1"/>
    <xf numFmtId="43" fontId="23" fillId="0" borderId="0" xfId="86" applyFont="1" applyAlignment="1" applyProtection="1"/>
    <xf numFmtId="10" fontId="5" fillId="0" borderId="0" xfId="255" applyNumberFormat="1" applyFont="1" applyAlignment="1" applyProtection="1">
      <alignment horizontal="left"/>
    </xf>
    <xf numFmtId="168" fontId="5" fillId="0" borderId="0" xfId="255" applyNumberFormat="1" applyFont="1" applyAlignment="1" applyProtection="1">
      <alignment horizontal="left"/>
    </xf>
    <xf numFmtId="179" fontId="5" fillId="0" borderId="0" xfId="255" applyNumberFormat="1" applyFont="1" applyProtection="1"/>
    <xf numFmtId="173" fontId="5" fillId="0" borderId="0" xfId="255" applyNumberFormat="1" applyFont="1" applyProtection="1"/>
    <xf numFmtId="164" fontId="5" fillId="0" borderId="0" xfId="255" applyNumberFormat="1" applyFont="1" applyAlignment="1" applyProtection="1">
      <alignment horizontal="left" vertical="center"/>
    </xf>
    <xf numFmtId="180" fontId="5" fillId="0" borderId="0" xfId="255" applyNumberFormat="1" applyFont="1" applyProtection="1"/>
    <xf numFmtId="173" fontId="5" fillId="0" borderId="14" xfId="86" applyNumberFormat="1" applyFont="1" applyBorder="1" applyAlignment="1" applyProtection="1"/>
    <xf numFmtId="0" fontId="6" fillId="0" borderId="0" xfId="255" applyNumberFormat="1" applyFont="1" applyProtection="1"/>
    <xf numFmtId="0" fontId="5" fillId="0" borderId="0" xfId="0" applyFont="1" applyAlignment="1">
      <alignment horizontal="left"/>
    </xf>
    <xf numFmtId="165" fontId="6" fillId="0" borderId="0" xfId="255" applyNumberFormat="1" applyFont="1" applyAlignment="1" applyProtection="1">
      <alignment horizontal="right"/>
    </xf>
    <xf numFmtId="3" fontId="5" fillId="0" borderId="0" xfId="255" applyNumberFormat="1" applyFont="1" applyAlignment="1" applyProtection="1">
      <alignment horizontal="center" wrapText="1"/>
    </xf>
    <xf numFmtId="173" fontId="5" fillId="0" borderId="0" xfId="86" applyNumberFormat="1" applyFont="1" applyFill="1" applyAlignment="1" applyProtection="1"/>
    <xf numFmtId="4" fontId="5" fillId="0" borderId="0" xfId="255" applyNumberFormat="1" applyFont="1" applyProtection="1"/>
    <xf numFmtId="172" fontId="6" fillId="0" borderId="0" xfId="255" applyFont="1" applyAlignment="1" applyProtection="1">
      <alignment horizontal="right"/>
    </xf>
    <xf numFmtId="165" fontId="6" fillId="0" borderId="0" xfId="255" applyNumberFormat="1" applyFont="1" applyProtection="1"/>
    <xf numFmtId="0" fontId="10" fillId="0" borderId="0" xfId="255" applyNumberFormat="1" applyFont="1" applyProtection="1"/>
    <xf numFmtId="3" fontId="5" fillId="0" borderId="6" xfId="255" applyNumberFormat="1" applyFont="1" applyBorder="1" applyAlignment="1" applyProtection="1">
      <alignment horizontal="center"/>
    </xf>
    <xf numFmtId="41" fontId="6" fillId="0" borderId="0" xfId="255" applyNumberFormat="1" applyFont="1" applyProtection="1"/>
    <xf numFmtId="0" fontId="14" fillId="0" borderId="0" xfId="255" applyNumberFormat="1" applyFont="1" applyAlignment="1" applyProtection="1">
      <alignment horizontal="left"/>
    </xf>
    <xf numFmtId="3" fontId="5" fillId="32" borderId="0" xfId="255" applyNumberFormat="1" applyFont="1" applyFill="1" applyProtection="1"/>
    <xf numFmtId="182" fontId="5" fillId="0" borderId="6" xfId="86" applyNumberFormat="1" applyFont="1" applyFill="1" applyBorder="1" applyAlignment="1" applyProtection="1">
      <alignment horizontal="center"/>
    </xf>
    <xf numFmtId="169" fontId="5" fillId="0" borderId="17" xfId="255" applyNumberFormat="1" applyFont="1" applyBorder="1" applyProtection="1"/>
    <xf numFmtId="169" fontId="5" fillId="0" borderId="0" xfId="255" applyNumberFormat="1" applyFont="1" applyProtection="1"/>
    <xf numFmtId="10" fontId="5" fillId="0" borderId="6" xfId="255" applyNumberFormat="1" applyFont="1" applyBorder="1" applyProtection="1"/>
    <xf numFmtId="169" fontId="5" fillId="0" borderId="6" xfId="255" applyNumberFormat="1" applyFont="1" applyBorder="1" applyProtection="1"/>
    <xf numFmtId="182" fontId="12" fillId="0" borderId="0" xfId="86" applyNumberFormat="1" applyFont="1" applyFill="1" applyProtection="1"/>
    <xf numFmtId="169" fontId="6" fillId="0" borderId="0" xfId="255" applyNumberFormat="1" applyFont="1" applyProtection="1"/>
    <xf numFmtId="0" fontId="3" fillId="31" borderId="0" xfId="255" applyNumberFormat="1" applyFill="1" applyAlignment="1" applyProtection="1">
      <alignment horizontal="center"/>
    </xf>
    <xf numFmtId="0" fontId="5" fillId="31" borderId="0" xfId="255" applyNumberFormat="1" applyFont="1" applyFill="1" applyAlignment="1" applyProtection="1">
      <alignment horizontal="center"/>
    </xf>
    <xf numFmtId="0" fontId="10" fillId="31" borderId="0" xfId="255" applyNumberFormat="1" applyFont="1" applyFill="1" applyProtection="1"/>
    <xf numFmtId="0" fontId="5" fillId="31" borderId="0" xfId="255" applyNumberFormat="1" applyFont="1" applyFill="1" applyAlignment="1" applyProtection="1">
      <alignment horizontal="left"/>
    </xf>
    <xf numFmtId="3" fontId="5" fillId="31" borderId="0" xfId="255" applyNumberFormat="1" applyFont="1" applyFill="1" applyProtection="1"/>
    <xf numFmtId="172" fontId="5" fillId="31" borderId="0" xfId="255" applyFont="1" applyFill="1" applyProtection="1"/>
    <xf numFmtId="3" fontId="6" fillId="31" borderId="0" xfId="255" applyNumberFormat="1" applyFont="1" applyFill="1" applyProtection="1"/>
    <xf numFmtId="166" fontId="6" fillId="31" borderId="0" xfId="255" applyNumberFormat="1" applyFont="1" applyFill="1" applyProtection="1"/>
    <xf numFmtId="0" fontId="5" fillId="31" borderId="0" xfId="255" applyNumberFormat="1" applyFont="1" applyFill="1" applyProtection="1"/>
    <xf numFmtId="3" fontId="5" fillId="31" borderId="6" xfId="255" applyNumberFormat="1" applyFont="1" applyFill="1" applyBorder="1" applyAlignment="1" applyProtection="1">
      <alignment horizontal="center"/>
    </xf>
    <xf numFmtId="41" fontId="5" fillId="31" borderId="0" xfId="255" applyNumberFormat="1" applyFont="1" applyFill="1" applyProtection="1"/>
    <xf numFmtId="0" fontId="14" fillId="31" borderId="0" xfId="255" applyNumberFormat="1" applyFont="1" applyFill="1" applyAlignment="1" applyProtection="1">
      <alignment horizontal="left"/>
    </xf>
    <xf numFmtId="0" fontId="0" fillId="31" borderId="0" xfId="0" applyFill="1"/>
    <xf numFmtId="0" fontId="32" fillId="31" borderId="0" xfId="0" applyFont="1" applyFill="1"/>
    <xf numFmtId="41" fontId="19" fillId="31" borderId="0" xfId="255" applyNumberFormat="1" applyFont="1" applyFill="1" applyProtection="1"/>
    <xf numFmtId="10" fontId="5" fillId="31" borderId="0" xfId="267" applyNumberFormat="1" applyFont="1" applyFill="1" applyAlignment="1" applyProtection="1"/>
    <xf numFmtId="41" fontId="19" fillId="31" borderId="6" xfId="255" applyNumberFormat="1" applyFont="1" applyFill="1" applyBorder="1" applyProtection="1"/>
    <xf numFmtId="3" fontId="23" fillId="31" borderId="0" xfId="255" applyNumberFormat="1" applyFont="1" applyFill="1" applyProtection="1"/>
    <xf numFmtId="0" fontId="5" fillId="31" borderId="6" xfId="255" applyNumberFormat="1" applyFont="1" applyFill="1" applyBorder="1" applyAlignment="1" applyProtection="1">
      <alignment horizontal="center"/>
    </xf>
    <xf numFmtId="182" fontId="5" fillId="31" borderId="6" xfId="86" applyNumberFormat="1" applyFont="1" applyFill="1" applyBorder="1" applyAlignment="1" applyProtection="1">
      <alignment horizontal="center"/>
    </xf>
    <xf numFmtId="10" fontId="5" fillId="31" borderId="0" xfId="255" applyNumberFormat="1" applyFont="1" applyFill="1" applyProtection="1"/>
    <xf numFmtId="169" fontId="23" fillId="31" borderId="0" xfId="255" applyNumberFormat="1" applyFont="1" applyFill="1" applyProtection="1"/>
    <xf numFmtId="169" fontId="5" fillId="31" borderId="17" xfId="255" applyNumberFormat="1" applyFont="1" applyFill="1" applyBorder="1" applyProtection="1"/>
    <xf numFmtId="3" fontId="5" fillId="0" borderId="0" xfId="255" quotePrefix="1" applyNumberFormat="1" applyFont="1" applyProtection="1"/>
    <xf numFmtId="169" fontId="5" fillId="31" borderId="0" xfId="255" applyNumberFormat="1" applyFont="1" applyFill="1" applyProtection="1"/>
    <xf numFmtId="41" fontId="5" fillId="31" borderId="6" xfId="255" applyNumberFormat="1" applyFont="1" applyFill="1" applyBorder="1" applyProtection="1"/>
    <xf numFmtId="169" fontId="5" fillId="31" borderId="6" xfId="255" applyNumberFormat="1" applyFont="1" applyFill="1" applyBorder="1" applyProtection="1"/>
    <xf numFmtId="182" fontId="22" fillId="31" borderId="0" xfId="86" applyNumberFormat="1" applyFont="1" applyFill="1" applyProtection="1"/>
    <xf numFmtId="3" fontId="6" fillId="31" borderId="0" xfId="255" applyNumberFormat="1" applyFont="1" applyFill="1" applyAlignment="1" applyProtection="1">
      <alignment horizontal="right"/>
    </xf>
    <xf numFmtId="169" fontId="6" fillId="31" borderId="0" xfId="255" applyNumberFormat="1" applyFont="1" applyFill="1" applyProtection="1"/>
    <xf numFmtId="3" fontId="6" fillId="0" borderId="0" xfId="255" quotePrefix="1" applyNumberFormat="1" applyFont="1" applyProtection="1"/>
    <xf numFmtId="172" fontId="3" fillId="0" borderId="0" xfId="255" applyAlignment="1" applyProtection="1">
      <alignment horizontal="center"/>
    </xf>
    <xf numFmtId="0" fontId="22" fillId="0" borderId="0" xfId="0" applyFont="1"/>
    <xf numFmtId="0" fontId="26" fillId="0" borderId="0" xfId="255" applyNumberFormat="1" applyFont="1" applyProtection="1"/>
    <xf numFmtId="0" fontId="107" fillId="0" borderId="0" xfId="255" applyNumberFormat="1" applyFont="1" applyProtection="1"/>
    <xf numFmtId="172" fontId="26" fillId="0" borderId="0" xfId="255" applyFont="1" applyProtection="1"/>
    <xf numFmtId="0" fontId="26" fillId="0" borderId="0" xfId="0" applyFont="1" applyAlignment="1">
      <alignment vertical="top" wrapText="1"/>
    </xf>
    <xf numFmtId="172" fontId="26" fillId="0" borderId="0" xfId="255" applyFont="1" applyAlignment="1" applyProtection="1">
      <alignment wrapText="1"/>
    </xf>
    <xf numFmtId="172" fontId="107" fillId="0" borderId="0" xfId="255" applyFont="1" applyProtection="1"/>
    <xf numFmtId="0" fontId="3" fillId="0" borderId="0" xfId="255" applyNumberFormat="1" applyProtection="1"/>
    <xf numFmtId="172" fontId="3" fillId="0" borderId="0" xfId="255" applyAlignment="1" applyProtection="1">
      <alignment horizontal="center" wrapText="1"/>
    </xf>
    <xf numFmtId="0" fontId="5" fillId="32" borderId="0" xfId="255" applyNumberFormat="1" applyFont="1" applyFill="1" applyAlignment="1" applyProtection="1">
      <alignment vertical="top" wrapText="1"/>
    </xf>
    <xf numFmtId="0" fontId="12" fillId="32" borderId="0" xfId="0" applyFont="1" applyFill="1"/>
    <xf numFmtId="0" fontId="93" fillId="0" borderId="0" xfId="255" applyNumberFormat="1" applyFont="1" applyAlignment="1" applyProtection="1">
      <alignment horizontal="center"/>
    </xf>
    <xf numFmtId="172" fontId="23" fillId="0" borderId="0" xfId="255" applyFont="1" applyAlignment="1" applyProtection="1">
      <alignment wrapText="1"/>
    </xf>
    <xf numFmtId="173" fontId="19" fillId="0" borderId="0" xfId="86" applyNumberFormat="1" applyFont="1" applyFill="1" applyAlignment="1" applyProtection="1">
      <alignment horizontal="right"/>
    </xf>
    <xf numFmtId="10" fontId="19" fillId="30" borderId="0" xfId="267" applyNumberFormat="1" applyFont="1" applyFill="1" applyAlignment="1" applyProtection="1">
      <protection locked="0"/>
    </xf>
    <xf numFmtId="0" fontId="19" fillId="30" borderId="0" xfId="86" applyNumberFormat="1" applyFont="1" applyFill="1" applyAlignment="1" applyProtection="1">
      <protection locked="0"/>
    </xf>
    <xf numFmtId="0" fontId="12" fillId="0" borderId="0" xfId="207"/>
    <xf numFmtId="0" fontId="12" fillId="0" borderId="0" xfId="207" applyAlignment="1">
      <alignment horizontal="center"/>
    </xf>
    <xf numFmtId="0" fontId="17" fillId="0" borderId="0" xfId="248" applyFont="1" applyAlignment="1">
      <alignment horizontal="center"/>
    </xf>
    <xf numFmtId="0" fontId="12" fillId="0" borderId="0" xfId="207" applyAlignment="1">
      <alignment horizontal="center" wrapText="1"/>
    </xf>
    <xf numFmtId="0" fontId="9" fillId="0" borderId="0" xfId="207" applyFont="1" applyAlignment="1">
      <alignment horizontal="left"/>
    </xf>
    <xf numFmtId="3" fontId="12" fillId="0" borderId="0" xfId="207" applyNumberFormat="1"/>
    <xf numFmtId="173" fontId="0" fillId="0" borderId="0" xfId="86" applyNumberFormat="1" applyFont="1" applyFill="1" applyProtection="1"/>
    <xf numFmtId="173" fontId="12" fillId="0" borderId="0" xfId="89" applyNumberFormat="1" applyFont="1" applyFill="1" applyBorder="1" applyAlignment="1" applyProtection="1">
      <alignment horizontal="right"/>
    </xf>
    <xf numFmtId="0" fontId="12" fillId="0" borderId="0" xfId="207" applyAlignment="1">
      <alignment horizontal="left"/>
    </xf>
    <xf numFmtId="0" fontId="7" fillId="0" borderId="0" xfId="207" applyFont="1" applyAlignment="1">
      <alignment horizontal="left"/>
    </xf>
    <xf numFmtId="173" fontId="8" fillId="30" borderId="0" xfId="89" applyNumberFormat="1" applyFont="1" applyFill="1" applyBorder="1" applyAlignment="1" applyProtection="1">
      <alignment horizontal="right"/>
      <protection locked="0"/>
    </xf>
    <xf numFmtId="0" fontId="9" fillId="0" borderId="0" xfId="207" applyFont="1" applyAlignment="1">
      <alignment horizontal="center"/>
    </xf>
    <xf numFmtId="0" fontId="9" fillId="0" borderId="0" xfId="207" applyFont="1"/>
    <xf numFmtId="0" fontId="13" fillId="0" borderId="0" xfId="0" applyFont="1"/>
    <xf numFmtId="3" fontId="13" fillId="0" borderId="0" xfId="207" applyNumberFormat="1" applyFont="1" applyAlignment="1">
      <alignment horizontal="center"/>
    </xf>
    <xf numFmtId="0" fontId="17" fillId="0" borderId="0" xfId="207" applyFont="1" applyAlignment="1">
      <alignment horizontal="center"/>
    </xf>
    <xf numFmtId="0" fontId="13" fillId="0" borderId="0" xfId="207" applyFont="1" applyAlignment="1">
      <alignment horizontal="left"/>
    </xf>
    <xf numFmtId="173" fontId="13" fillId="0" borderId="0" xfId="89" applyNumberFormat="1" applyFont="1" applyFill="1" applyBorder="1" applyAlignment="1" applyProtection="1">
      <alignment horizontal="right"/>
    </xf>
    <xf numFmtId="164" fontId="12" fillId="0" borderId="0" xfId="269" applyNumberFormat="1" applyFont="1" applyFill="1" applyBorder="1" applyAlignment="1" applyProtection="1"/>
    <xf numFmtId="173" fontId="12" fillId="0" borderId="0" xfId="89" applyNumberFormat="1" applyFont="1" applyFill="1" applyBorder="1" applyAlignment="1" applyProtection="1">
      <alignment horizontal="left"/>
    </xf>
    <xf numFmtId="0" fontId="8" fillId="0" borderId="0" xfId="207" applyFont="1"/>
    <xf numFmtId="0" fontId="87" fillId="0" borderId="0" xfId="0" applyFont="1" applyAlignment="1">
      <alignment horizontal="center"/>
    </xf>
    <xf numFmtId="0" fontId="12" fillId="25" borderId="0" xfId="207" applyFill="1" applyAlignment="1">
      <alignment horizontal="center"/>
    </xf>
    <xf numFmtId="0" fontId="9" fillId="25" borderId="0" xfId="207" applyFont="1" applyFill="1" applyAlignment="1">
      <alignment horizontal="left"/>
    </xf>
    <xf numFmtId="0" fontId="8" fillId="25" borderId="0" xfId="207" applyFont="1" applyFill="1"/>
    <xf numFmtId="0" fontId="12" fillId="25" borderId="0" xfId="207" applyFill="1" applyAlignment="1">
      <alignment horizontal="left"/>
    </xf>
    <xf numFmtId="0" fontId="12" fillId="25" borderId="0" xfId="207" applyFill="1"/>
    <xf numFmtId="173" fontId="12" fillId="25" borderId="0" xfId="89" applyNumberFormat="1" applyFont="1" applyFill="1" applyBorder="1" applyAlignment="1" applyProtection="1">
      <alignment horizontal="right"/>
    </xf>
    <xf numFmtId="0" fontId="0" fillId="25" borderId="0" xfId="0" applyFill="1"/>
    <xf numFmtId="164" fontId="12" fillId="25" borderId="0" xfId="269" applyNumberFormat="1" applyFont="1" applyFill="1" applyBorder="1" applyAlignment="1" applyProtection="1"/>
    <xf numFmtId="173" fontId="12" fillId="25" borderId="0" xfId="89" applyNumberFormat="1" applyFont="1" applyFill="1" applyBorder="1" applyAlignment="1" applyProtection="1">
      <alignment horizontal="left"/>
    </xf>
    <xf numFmtId="0" fontId="81" fillId="0" borderId="0" xfId="207" applyFont="1" applyAlignment="1">
      <alignment horizontal="left"/>
    </xf>
    <xf numFmtId="9" fontId="9" fillId="0" borderId="0" xfId="248" quotePrefix="1" applyNumberFormat="1" applyFont="1" applyAlignment="1">
      <alignment horizontal="center"/>
    </xf>
    <xf numFmtId="0" fontId="69" fillId="0" borderId="0" xfId="248" applyFont="1" applyAlignment="1">
      <alignment horizontal="center"/>
    </xf>
    <xf numFmtId="0" fontId="86" fillId="0" borderId="0" xfId="248" applyFont="1" applyAlignment="1">
      <alignment horizontal="center"/>
    </xf>
    <xf numFmtId="38" fontId="12" fillId="0" borderId="0" xfId="207" applyNumberFormat="1" applyAlignment="1">
      <alignment horizontal="right"/>
    </xf>
    <xf numFmtId="37" fontId="12" fillId="0" borderId="0" xfId="207" applyNumberFormat="1" applyAlignment="1">
      <alignment horizontal="right"/>
    </xf>
    <xf numFmtId="0" fontId="12" fillId="0" borderId="0" xfId="207" applyAlignment="1">
      <alignment horizontal="right"/>
    </xf>
    <xf numFmtId="38" fontId="12" fillId="0" borderId="0" xfId="0" applyNumberFormat="1" applyFont="1" applyAlignment="1">
      <alignment horizontal="right"/>
    </xf>
    <xf numFmtId="38" fontId="8" fillId="0" borderId="0" xfId="207" applyNumberFormat="1" applyFont="1"/>
    <xf numFmtId="37" fontId="8" fillId="0" borderId="0" xfId="207" applyNumberFormat="1" applyFont="1"/>
    <xf numFmtId="173" fontId="8" fillId="0" borderId="14" xfId="86" applyNumberFormat="1" applyFont="1" applyFill="1" applyBorder="1" applyAlignment="1" applyProtection="1"/>
    <xf numFmtId="0" fontId="12" fillId="0" borderId="14" xfId="207" applyBorder="1" applyAlignment="1">
      <alignment horizontal="left"/>
    </xf>
    <xf numFmtId="173" fontId="12" fillId="0" borderId="14" xfId="89" applyNumberFormat="1" applyFont="1" applyFill="1" applyBorder="1" applyAlignment="1" applyProtection="1">
      <alignment horizontal="right"/>
    </xf>
    <xf numFmtId="0" fontId="80" fillId="0" borderId="0" xfId="248" applyFont="1"/>
    <xf numFmtId="173" fontId="2" fillId="0" borderId="0" xfId="86" applyNumberFormat="1" applyProtection="1"/>
    <xf numFmtId="173" fontId="2" fillId="0" borderId="0" xfId="86" applyNumberFormat="1" applyFill="1" applyProtection="1"/>
    <xf numFmtId="173" fontId="12" fillId="0" borderId="0" xfId="86" applyNumberFormat="1" applyFont="1" applyFill="1" applyProtection="1"/>
    <xf numFmtId="173" fontId="2" fillId="0" borderId="0" xfId="86" applyNumberFormat="1" applyFont="1" applyFill="1" applyProtection="1"/>
    <xf numFmtId="0" fontId="9" fillId="0" borderId="0" xfId="248" applyFont="1"/>
    <xf numFmtId="38" fontId="12" fillId="0" borderId="17" xfId="0" applyNumberFormat="1" applyFont="1" applyBorder="1"/>
    <xf numFmtId="37" fontId="12" fillId="0" borderId="17" xfId="0" applyNumberFormat="1" applyFont="1" applyBorder="1"/>
    <xf numFmtId="0" fontId="151" fillId="0" borderId="0" xfId="207" applyFont="1"/>
    <xf numFmtId="0" fontId="32" fillId="0" borderId="0" xfId="248" applyFont="1" applyAlignment="1">
      <alignment horizontal="left"/>
    </xf>
    <xf numFmtId="0" fontId="96" fillId="0" borderId="0" xfId="248" applyFont="1" applyAlignment="1">
      <alignment horizontal="center"/>
    </xf>
    <xf numFmtId="0" fontId="97" fillId="0" borderId="0" xfId="248" applyFont="1"/>
    <xf numFmtId="37" fontId="8" fillId="30" borderId="0" xfId="0" applyNumberFormat="1" applyFont="1" applyFill="1" applyProtection="1">
      <protection locked="0"/>
    </xf>
    <xf numFmtId="0" fontId="2" fillId="0" borderId="0" xfId="0" applyFont="1" applyAlignment="1">
      <alignment horizontal="center"/>
    </xf>
    <xf numFmtId="0" fontId="121" fillId="0" borderId="0" xfId="0" applyFont="1" applyAlignment="1">
      <alignment horizontal="center"/>
    </xf>
    <xf numFmtId="0" fontId="121" fillId="0" borderId="0" xfId="0" applyFont="1" applyAlignment="1">
      <alignment horizontal="left"/>
    </xf>
    <xf numFmtId="0" fontId="121" fillId="0" borderId="0" xfId="0" applyFont="1"/>
    <xf numFmtId="0" fontId="0" fillId="0" borderId="11" xfId="0" applyBorder="1"/>
    <xf numFmtId="43" fontId="0" fillId="0" borderId="0" xfId="0" applyNumberFormat="1"/>
    <xf numFmtId="174" fontId="0" fillId="0" borderId="0" xfId="86" applyNumberFormat="1" applyFont="1" applyFill="1" applyProtection="1"/>
    <xf numFmtId="43" fontId="0" fillId="0" borderId="13" xfId="0" applyNumberFormat="1" applyBorder="1"/>
    <xf numFmtId="172" fontId="109" fillId="0" borderId="0" xfId="255" applyFont="1" applyProtection="1"/>
    <xf numFmtId="0" fontId="120" fillId="0" borderId="0" xfId="0" applyFont="1" applyAlignment="1">
      <alignment horizontal="center"/>
    </xf>
    <xf numFmtId="174" fontId="12" fillId="0" borderId="0" xfId="86" applyNumberFormat="1" applyFont="1" applyFill="1" applyProtection="1"/>
    <xf numFmtId="174" fontId="0" fillId="0" borderId="0" xfId="0" applyNumberFormat="1"/>
    <xf numFmtId="43" fontId="8" fillId="30" borderId="0" xfId="0" applyNumberFormat="1" applyFont="1" applyFill="1" applyProtection="1">
      <protection locked="0"/>
    </xf>
    <xf numFmtId="0" fontId="3" fillId="0" borderId="0" xfId="0" applyFont="1"/>
    <xf numFmtId="0" fontId="3" fillId="0" borderId="0" xfId="260" applyFont="1"/>
    <xf numFmtId="0" fontId="3" fillId="0" borderId="0" xfId="260" applyFont="1" applyAlignment="1">
      <alignment horizontal="right"/>
    </xf>
    <xf numFmtId="0" fontId="10" fillId="0" borderId="0" xfId="260" applyFont="1" applyAlignment="1">
      <alignment horizontal="center"/>
    </xf>
    <xf numFmtId="0" fontId="5" fillId="0" borderId="0" xfId="260" applyFont="1"/>
    <xf numFmtId="0" fontId="82" fillId="0" borderId="0" xfId="260" applyFont="1"/>
    <xf numFmtId="0" fontId="26" fillId="0" borderId="0" xfId="0" applyFont="1" applyAlignment="1">
      <alignment horizontal="center"/>
    </xf>
    <xf numFmtId="0" fontId="3" fillId="0" borderId="0" xfId="0" applyFont="1" applyAlignment="1">
      <alignment horizontal="right"/>
    </xf>
    <xf numFmtId="0" fontId="6" fillId="0" borderId="0" xfId="260" applyFont="1"/>
    <xf numFmtId="0" fontId="26" fillId="0" borderId="0" xfId="260" applyFont="1" applyAlignment="1">
      <alignment horizontal="center"/>
    </xf>
    <xf numFmtId="0" fontId="9" fillId="0" borderId="0" xfId="260" applyFont="1" applyAlignment="1">
      <alignment horizontal="center"/>
    </xf>
    <xf numFmtId="0" fontId="9" fillId="0" borderId="0" xfId="260" applyFont="1"/>
    <xf numFmtId="0" fontId="101" fillId="0" borderId="0" xfId="0" applyFont="1"/>
    <xf numFmtId="0" fontId="101" fillId="0" borderId="0" xfId="260" applyFont="1"/>
    <xf numFmtId="0" fontId="12" fillId="0" borderId="0" xfId="260" applyFont="1"/>
    <xf numFmtId="173" fontId="12" fillId="0" borderId="0" xfId="260" applyNumberFormat="1" applyFont="1"/>
    <xf numFmtId="172" fontId="12" fillId="0" borderId="0" xfId="260" applyNumberFormat="1" applyFont="1" applyAlignment="1">
      <alignment horizontal="center"/>
    </xf>
    <xf numFmtId="43" fontId="12" fillId="0" borderId="0" xfId="112" applyFont="1" applyFill="1" applyProtection="1"/>
    <xf numFmtId="0" fontId="94" fillId="0" borderId="0" xfId="260" applyFont="1"/>
    <xf numFmtId="185" fontId="12" fillId="0" borderId="0" xfId="0" applyNumberFormat="1" applyFont="1"/>
    <xf numFmtId="173" fontId="12" fillId="0" borderId="13" xfId="0" applyNumberFormat="1" applyFont="1" applyBorder="1"/>
    <xf numFmtId="173" fontId="12" fillId="0" borderId="13" xfId="260" applyNumberFormat="1" applyFont="1" applyBorder="1"/>
    <xf numFmtId="0" fontId="26" fillId="0" borderId="0" xfId="260" applyFont="1"/>
    <xf numFmtId="43" fontId="5" fillId="0" borderId="0" xfId="112" applyFont="1" applyFill="1" applyProtection="1"/>
    <xf numFmtId="173" fontId="5" fillId="0" borderId="0" xfId="260" applyNumberFormat="1" applyFont="1"/>
    <xf numFmtId="0" fontId="6" fillId="0" borderId="0" xfId="0" applyFont="1" applyAlignment="1">
      <alignment horizontal="center"/>
    </xf>
    <xf numFmtId="173" fontId="8" fillId="30" borderId="0" xfId="112" applyNumberFormat="1" applyFont="1" applyFill="1" applyProtection="1">
      <protection locked="0"/>
    </xf>
    <xf numFmtId="41" fontId="19" fillId="30" borderId="0" xfId="248" applyNumberFormat="1" applyFont="1" applyFill="1" applyProtection="1">
      <protection locked="0"/>
    </xf>
    <xf numFmtId="3" fontId="19" fillId="30" borderId="0" xfId="0" applyNumberFormat="1" applyFont="1" applyFill="1" applyProtection="1">
      <protection locked="0"/>
    </xf>
    <xf numFmtId="41" fontId="27" fillId="30" borderId="0" xfId="248" applyNumberFormat="1" applyFont="1" applyFill="1" applyProtection="1">
      <protection locked="0"/>
    </xf>
    <xf numFmtId="0" fontId="18" fillId="0" borderId="0" xfId="0" applyFont="1"/>
    <xf numFmtId="0" fontId="18" fillId="0" borderId="0" xfId="0" applyFont="1" applyAlignment="1">
      <alignment horizontal="right"/>
    </xf>
    <xf numFmtId="0" fontId="5" fillId="0" borderId="0" xfId="0" applyFont="1" applyAlignment="1">
      <alignment horizontal="center" wrapText="1"/>
    </xf>
    <xf numFmtId="37" fontId="5" fillId="0" borderId="0" xfId="0" applyNumberFormat="1" applyFont="1"/>
    <xf numFmtId="37" fontId="5" fillId="0" borderId="0" xfId="0" applyNumberFormat="1" applyFont="1" applyAlignment="1">
      <alignment horizontal="center"/>
    </xf>
    <xf numFmtId="0" fontId="15" fillId="0" borderId="0" xfId="0" applyFont="1"/>
    <xf numFmtId="10" fontId="5" fillId="0" borderId="0" xfId="0" applyNumberFormat="1" applyFont="1"/>
    <xf numFmtId="176" fontId="5" fillId="0" borderId="0" xfId="0" applyNumberFormat="1" applyFont="1"/>
    <xf numFmtId="10" fontId="5" fillId="0" borderId="14" xfId="0" applyNumberFormat="1" applyFont="1" applyBorder="1"/>
    <xf numFmtId="10" fontId="19" fillId="30" borderId="0" xfId="0" applyNumberFormat="1" applyFont="1" applyFill="1" applyProtection="1">
      <protection locked="0"/>
    </xf>
    <xf numFmtId="10" fontId="19" fillId="30" borderId="11" xfId="0" applyNumberFormat="1" applyFont="1" applyFill="1" applyBorder="1" applyProtection="1">
      <protection locked="0"/>
    </xf>
    <xf numFmtId="0" fontId="5" fillId="30" borderId="0" xfId="0" applyFont="1" applyFill="1" applyProtection="1">
      <protection locked="0"/>
    </xf>
    <xf numFmtId="0" fontId="5" fillId="0" borderId="0" xfId="256" applyFont="1"/>
    <xf numFmtId="0" fontId="9" fillId="0" borderId="0" xfId="256" applyFont="1"/>
    <xf numFmtId="0" fontId="74" fillId="0" borderId="11" xfId="256" applyFont="1" applyBorder="1" applyAlignment="1">
      <alignment horizontal="center"/>
    </xf>
    <xf numFmtId="0" fontId="9" fillId="0" borderId="0" xfId="256" applyFont="1" applyAlignment="1">
      <alignment horizontal="center"/>
    </xf>
    <xf numFmtId="185" fontId="72" fillId="0" borderId="0" xfId="256" applyNumberFormat="1" applyFont="1"/>
    <xf numFmtId="185" fontId="18" fillId="0" borderId="0" xfId="256" applyNumberFormat="1" applyFont="1"/>
    <xf numFmtId="173" fontId="5" fillId="0" borderId="0" xfId="256" applyNumberFormat="1" applyFont="1"/>
    <xf numFmtId="173" fontId="76" fillId="0" borderId="0" xfId="256" applyNumberFormat="1" applyFont="1"/>
    <xf numFmtId="185" fontId="5" fillId="0" borderId="0" xfId="256" applyNumberFormat="1" applyFont="1"/>
    <xf numFmtId="173" fontId="76" fillId="0" borderId="0" xfId="86" applyNumberFormat="1" applyFont="1" applyProtection="1"/>
    <xf numFmtId="0" fontId="116" fillId="0" borderId="0" xfId="255" applyNumberFormat="1" applyFont="1" applyProtection="1"/>
    <xf numFmtId="173" fontId="117" fillId="0" borderId="0" xfId="256" applyNumberFormat="1" applyFont="1"/>
    <xf numFmtId="185" fontId="118" fillId="0" borderId="0" xfId="256" applyNumberFormat="1" applyFont="1"/>
    <xf numFmtId="173" fontId="117" fillId="0" borderId="0" xfId="86" applyNumberFormat="1" applyFont="1" applyProtection="1"/>
    <xf numFmtId="173" fontId="99" fillId="0" borderId="0" xfId="256" applyNumberFormat="1" applyFont="1"/>
    <xf numFmtId="43" fontId="71" fillId="0" borderId="0" xfId="86" applyFont="1" applyProtection="1"/>
    <xf numFmtId="43" fontId="76" fillId="0" borderId="0" xfId="86" applyFont="1" applyProtection="1"/>
    <xf numFmtId="173" fontId="5" fillId="0" borderId="0" xfId="86" applyNumberFormat="1" applyFont="1" applyProtection="1"/>
    <xf numFmtId="173" fontId="71" fillId="0" borderId="14" xfId="86" applyNumberFormat="1" applyFont="1" applyBorder="1" applyProtection="1"/>
    <xf numFmtId="0" fontId="74" fillId="0" borderId="0" xfId="256" applyFont="1" applyAlignment="1">
      <alignment horizontal="center" wrapText="1"/>
    </xf>
    <xf numFmtId="0" fontId="79" fillId="0" borderId="0" xfId="256" applyFont="1" applyAlignment="1">
      <alignment horizontal="center"/>
    </xf>
    <xf numFmtId="41" fontId="99" fillId="0" borderId="0" xfId="256" applyNumberFormat="1" applyFont="1"/>
    <xf numFmtId="41" fontId="71" fillId="0" borderId="0" xfId="256" applyNumberFormat="1" applyFont="1"/>
    <xf numFmtId="10" fontId="71" fillId="0" borderId="0" xfId="267" applyNumberFormat="1" applyFont="1" applyFill="1" applyProtection="1"/>
    <xf numFmtId="164" fontId="71" fillId="0" borderId="0" xfId="267" applyNumberFormat="1" applyFont="1" applyFill="1" applyProtection="1"/>
    <xf numFmtId="187" fontId="12" fillId="0" borderId="0" xfId="267" applyNumberFormat="1" applyFont="1" applyFill="1" applyProtection="1"/>
    <xf numFmtId="41" fontId="84" fillId="28" borderId="0" xfId="256" applyNumberFormat="1" applyFont="1" applyFill="1"/>
    <xf numFmtId="10" fontId="71" fillId="0" borderId="11" xfId="267" applyNumberFormat="1" applyFont="1" applyFill="1" applyBorder="1" applyProtection="1"/>
    <xf numFmtId="173" fontId="71" fillId="0" borderId="0" xfId="86" applyNumberFormat="1" applyFont="1" applyFill="1" applyProtection="1"/>
    <xf numFmtId="10" fontId="71" fillId="0" borderId="0" xfId="267" applyNumberFormat="1" applyFont="1" applyFill="1" applyBorder="1" applyProtection="1"/>
    <xf numFmtId="173" fontId="71" fillId="0" borderId="0" xfId="86" applyNumberFormat="1" applyFont="1" applyFill="1" applyBorder="1" applyProtection="1"/>
    <xf numFmtId="173" fontId="12" fillId="0" borderId="0" xfId="256" applyNumberFormat="1" applyFont="1"/>
    <xf numFmtId="173" fontId="71" fillId="0" borderId="18" xfId="86" applyNumberFormat="1" applyFont="1" applyFill="1" applyBorder="1" applyProtection="1"/>
    <xf numFmtId="0" fontId="74" fillId="30" borderId="0" xfId="256" applyFont="1" applyFill="1" applyProtection="1">
      <protection locked="0"/>
    </xf>
    <xf numFmtId="0" fontId="99" fillId="30" borderId="0" xfId="256" applyFont="1" applyFill="1" applyProtection="1">
      <protection locked="0"/>
    </xf>
    <xf numFmtId="0" fontId="71" fillId="30" borderId="0" xfId="256" applyFont="1" applyFill="1" applyProtection="1">
      <protection locked="0"/>
    </xf>
    <xf numFmtId="10" fontId="78" fillId="30" borderId="11" xfId="267" applyNumberFormat="1" applyFont="1" applyFill="1" applyBorder="1" applyProtection="1">
      <protection locked="0"/>
    </xf>
    <xf numFmtId="173" fontId="78" fillId="30" borderId="0" xfId="256" applyNumberFormat="1" applyFont="1" applyFill="1" applyProtection="1">
      <protection locked="0"/>
    </xf>
    <xf numFmtId="0" fontId="11" fillId="0" borderId="0" xfId="0" applyFont="1"/>
    <xf numFmtId="0" fontId="18" fillId="0" borderId="0" xfId="0" applyFont="1" applyAlignment="1">
      <alignment horizontal="left"/>
    </xf>
    <xf numFmtId="0" fontId="66" fillId="0" borderId="0" xfId="0" applyFont="1"/>
    <xf numFmtId="0" fontId="0" fillId="0" borderId="0" xfId="0" applyAlignment="1">
      <alignment wrapText="1"/>
    </xf>
    <xf numFmtId="0" fontId="6" fillId="0" borderId="0" xfId="0" applyFont="1" applyAlignment="1">
      <alignment horizontal="left"/>
    </xf>
    <xf numFmtId="0" fontId="12" fillId="0" borderId="0" xfId="255" applyNumberFormat="1" applyFont="1" applyProtection="1"/>
    <xf numFmtId="3" fontId="12" fillId="0" borderId="0" xfId="255" applyNumberFormat="1" applyFont="1" applyProtection="1"/>
    <xf numFmtId="10" fontId="2" fillId="0" borderId="0" xfId="267" applyNumberFormat="1" applyAlignment="1" applyProtection="1">
      <alignment horizontal="right"/>
    </xf>
    <xf numFmtId="172" fontId="12" fillId="0" borderId="0" xfId="255" applyFont="1" applyProtection="1"/>
    <xf numFmtId="10" fontId="12" fillId="0" borderId="0" xfId="267" applyNumberFormat="1" applyFont="1" applyFill="1" applyAlignment="1" applyProtection="1">
      <alignment horizontal="right"/>
    </xf>
    <xf numFmtId="3" fontId="9" fillId="0" borderId="0" xfId="255" applyNumberFormat="1" applyFont="1" applyProtection="1"/>
    <xf numFmtId="10" fontId="12" fillId="0" borderId="0" xfId="255" applyNumberFormat="1" applyFont="1" applyAlignment="1" applyProtection="1">
      <alignment horizontal="right"/>
    </xf>
    <xf numFmtId="3" fontId="13" fillId="0" borderId="0" xfId="255" applyNumberFormat="1" applyFont="1" applyAlignment="1" applyProtection="1">
      <alignment horizontal="center"/>
    </xf>
    <xf numFmtId="10" fontId="13" fillId="0" borderId="0" xfId="255" applyNumberFormat="1" applyFont="1" applyAlignment="1" applyProtection="1">
      <alignment horizontal="center"/>
    </xf>
    <xf numFmtId="0" fontId="12" fillId="0" borderId="0" xfId="255" applyNumberFormat="1" applyFont="1" applyAlignment="1" applyProtection="1">
      <alignment horizontal="right"/>
    </xf>
    <xf numFmtId="10" fontId="0" fillId="0" borderId="0" xfId="0" applyNumberFormat="1" applyAlignment="1">
      <alignment horizontal="center"/>
    </xf>
    <xf numFmtId="164" fontId="12" fillId="0" borderId="0" xfId="267" applyNumberFormat="1" applyFont="1" applyAlignment="1" applyProtection="1"/>
    <xf numFmtId="166" fontId="12" fillId="0" borderId="0" xfId="255" applyNumberFormat="1" applyFont="1" applyAlignment="1" applyProtection="1">
      <alignment horizontal="center"/>
    </xf>
    <xf numFmtId="41" fontId="12" fillId="0" borderId="0" xfId="255" applyNumberFormat="1" applyFont="1" applyProtection="1"/>
    <xf numFmtId="41" fontId="12" fillId="0" borderId="0" xfId="255" applyNumberFormat="1" applyFont="1" applyAlignment="1" applyProtection="1">
      <alignment horizontal="center"/>
    </xf>
    <xf numFmtId="164" fontId="13" fillId="0" borderId="0" xfId="267" applyNumberFormat="1" applyFont="1" applyAlignment="1" applyProtection="1"/>
    <xf numFmtId="3" fontId="12" fillId="0" borderId="0" xfId="255" applyNumberFormat="1" applyFont="1" applyAlignment="1" applyProtection="1">
      <alignment horizontal="right"/>
    </xf>
    <xf numFmtId="172" fontId="2" fillId="0" borderId="19" xfId="255" applyFont="1" applyBorder="1" applyProtection="1"/>
    <xf numFmtId="0" fontId="2" fillId="0" borderId="0" xfId="255" applyNumberFormat="1" applyFont="1" applyAlignment="1" applyProtection="1">
      <alignment horizontal="center"/>
    </xf>
    <xf numFmtId="172" fontId="2" fillId="0" borderId="0" xfId="255" applyFont="1" applyProtection="1"/>
    <xf numFmtId="3" fontId="2" fillId="0" borderId="20" xfId="255" applyNumberFormat="1" applyFont="1" applyBorder="1" applyProtection="1"/>
    <xf numFmtId="10" fontId="12" fillId="0" borderId="0" xfId="255" applyNumberFormat="1" applyFont="1" applyAlignment="1" applyProtection="1">
      <alignment horizontal="left"/>
    </xf>
    <xf numFmtId="0" fontId="2" fillId="0" borderId="19" xfId="0" applyFont="1" applyBorder="1"/>
    <xf numFmtId="0" fontId="2" fillId="0" borderId="20" xfId="0" applyFont="1" applyBorder="1"/>
    <xf numFmtId="166" fontId="2" fillId="0" borderId="21" xfId="255" applyNumberFormat="1" applyFont="1" applyBorder="1" applyAlignment="1" applyProtection="1">
      <alignment horizontal="center"/>
    </xf>
    <xf numFmtId="0" fontId="2" fillId="0" borderId="6" xfId="255" applyNumberFormat="1" applyFont="1" applyBorder="1" applyAlignment="1" applyProtection="1">
      <alignment horizontal="center"/>
    </xf>
    <xf numFmtId="174" fontId="2" fillId="0" borderId="22" xfId="0" applyNumberFormat="1" applyFont="1" applyBorder="1"/>
    <xf numFmtId="41" fontId="2" fillId="0" borderId="0" xfId="255" applyNumberFormat="1" applyFont="1" applyProtection="1"/>
    <xf numFmtId="173" fontId="2" fillId="0" borderId="0" xfId="255" applyNumberFormat="1" applyFont="1" applyAlignment="1" applyProtection="1">
      <alignment horizontal="center"/>
    </xf>
    <xf numFmtId="41" fontId="12" fillId="0" borderId="0" xfId="255" applyNumberFormat="1" applyFont="1" applyAlignment="1" applyProtection="1">
      <alignment horizontal="left"/>
    </xf>
    <xf numFmtId="41" fontId="2" fillId="0" borderId="0" xfId="255" applyNumberFormat="1" applyFont="1" applyAlignment="1" applyProtection="1">
      <alignment horizontal="right"/>
    </xf>
    <xf numFmtId="167" fontId="12" fillId="0" borderId="0" xfId="255" applyNumberFormat="1" applyFont="1" applyProtection="1"/>
    <xf numFmtId="164" fontId="12" fillId="0" borderId="0" xfId="255" applyNumberFormat="1" applyFont="1" applyAlignment="1" applyProtection="1">
      <alignment horizontal="left"/>
    </xf>
    <xf numFmtId="3" fontId="12" fillId="0" borderId="0" xfId="255" applyNumberFormat="1" applyFont="1" applyAlignment="1" applyProtection="1">
      <alignment vertical="center" wrapText="1"/>
    </xf>
    <xf numFmtId="41" fontId="12" fillId="0" borderId="0" xfId="255" applyNumberFormat="1" applyFont="1" applyAlignment="1" applyProtection="1">
      <alignment vertical="center"/>
    </xf>
    <xf numFmtId="41" fontId="12" fillId="0" borderId="0" xfId="255" applyNumberFormat="1" applyFont="1" applyAlignment="1" applyProtection="1">
      <alignment horizontal="center" vertical="center"/>
    </xf>
    <xf numFmtId="41" fontId="12" fillId="0" borderId="0" xfId="255" applyNumberFormat="1" applyFont="1" applyAlignment="1" applyProtection="1">
      <alignment horizontal="right"/>
    </xf>
    <xf numFmtId="10" fontId="12" fillId="0" borderId="0" xfId="0" applyNumberFormat="1" applyFont="1"/>
    <xf numFmtId="173" fontId="12" fillId="0" borderId="0" xfId="86" applyNumberFormat="1" applyFont="1" applyProtection="1"/>
    <xf numFmtId="41" fontId="12" fillId="0" borderId="0" xfId="0" applyNumberFormat="1" applyFont="1"/>
    <xf numFmtId="41" fontId="12" fillId="0" borderId="6" xfId="255" applyNumberFormat="1" applyFont="1" applyBorder="1" applyProtection="1"/>
    <xf numFmtId="0" fontId="12" fillId="32" borderId="0" xfId="255" applyNumberFormat="1" applyFont="1" applyFill="1" applyProtection="1"/>
    <xf numFmtId="41" fontId="13" fillId="0" borderId="0" xfId="255" applyNumberFormat="1" applyFont="1" applyProtection="1"/>
    <xf numFmtId="3" fontId="12" fillId="0" borderId="0" xfId="255" applyNumberFormat="1" applyFont="1" applyAlignment="1" applyProtection="1">
      <alignment horizontal="center"/>
    </xf>
    <xf numFmtId="0" fontId="12" fillId="0" borderId="0" xfId="255" applyNumberFormat="1" applyFont="1" applyAlignment="1" applyProtection="1">
      <alignment horizontal="center"/>
    </xf>
    <xf numFmtId="10" fontId="12" fillId="0" borderId="0" xfId="255" applyNumberFormat="1" applyFont="1" applyProtection="1"/>
    <xf numFmtId="169" fontId="12" fillId="0" borderId="0" xfId="255" applyNumberFormat="1" applyFont="1" applyProtection="1"/>
    <xf numFmtId="169" fontId="9" fillId="0" borderId="0" xfId="255" applyNumberFormat="1" applyFont="1" applyProtection="1"/>
    <xf numFmtId="41" fontId="13" fillId="0" borderId="0" xfId="0" applyNumberFormat="1" applyFont="1"/>
    <xf numFmtId="4" fontId="12" fillId="0" borderId="0" xfId="255" applyNumberFormat="1" applyFont="1" applyProtection="1"/>
    <xf numFmtId="10" fontId="13" fillId="0" borderId="0" xfId="0" applyNumberFormat="1" applyFont="1"/>
    <xf numFmtId="173" fontId="12" fillId="0" borderId="0" xfId="86" applyNumberFormat="1" applyFont="1" applyBorder="1" applyProtection="1"/>
    <xf numFmtId="43" fontId="12" fillId="0" borderId="0" xfId="86" applyFont="1" applyProtection="1"/>
    <xf numFmtId="43" fontId="12" fillId="0" borderId="0" xfId="86" applyFont="1" applyFill="1" applyProtection="1"/>
    <xf numFmtId="173" fontId="12" fillId="0" borderId="0" xfId="0" applyNumberFormat="1" applyFont="1"/>
    <xf numFmtId="0" fontId="68" fillId="0" borderId="0" xfId="0" applyFont="1"/>
    <xf numFmtId="0" fontId="12" fillId="27" borderId="0" xfId="0" applyFont="1" applyFill="1"/>
    <xf numFmtId="0" fontId="9" fillId="0" borderId="23" xfId="0" applyFont="1" applyBorder="1"/>
    <xf numFmtId="0" fontId="9" fillId="0" borderId="17" xfId="0" applyFont="1" applyBorder="1"/>
    <xf numFmtId="0" fontId="12" fillId="0" borderId="17" xfId="0" applyFont="1" applyBorder="1"/>
    <xf numFmtId="173" fontId="9" fillId="0" borderId="24" xfId="86" applyNumberFormat="1" applyFont="1" applyBorder="1" applyProtection="1"/>
    <xf numFmtId="0" fontId="5" fillId="0" borderId="0" xfId="86" applyNumberFormat="1" applyFont="1" applyFill="1" applyAlignment="1" applyProtection="1">
      <alignment horizontal="left"/>
    </xf>
    <xf numFmtId="0" fontId="5" fillId="0" borderId="0" xfId="86" applyNumberFormat="1" applyFont="1" applyFill="1" applyBorder="1" applyAlignment="1" applyProtection="1">
      <alignment horizontal="left"/>
    </xf>
    <xf numFmtId="0" fontId="9" fillId="0" borderId="19" xfId="0" applyFont="1" applyBorder="1"/>
    <xf numFmtId="0" fontId="6" fillId="0" borderId="0" xfId="86" applyNumberFormat="1" applyFont="1" applyFill="1" applyBorder="1" applyAlignment="1" applyProtection="1">
      <alignment horizontal="left"/>
    </xf>
    <xf numFmtId="173" fontId="9" fillId="0" borderId="25" xfId="86" applyNumberFormat="1" applyFont="1" applyBorder="1" applyProtection="1"/>
    <xf numFmtId="0" fontId="9" fillId="0" borderId="0" xfId="0" applyFont="1"/>
    <xf numFmtId="173" fontId="9" fillId="0" borderId="21" xfId="86" applyNumberFormat="1" applyFont="1" applyBorder="1" applyProtection="1"/>
    <xf numFmtId="173" fontId="12" fillId="0" borderId="6" xfId="86" applyNumberFormat="1" applyFont="1" applyBorder="1" applyProtection="1"/>
    <xf numFmtId="173" fontId="12" fillId="0" borderId="22" xfId="86" applyNumberFormat="1" applyFont="1" applyBorder="1" applyProtection="1"/>
    <xf numFmtId="0" fontId="7" fillId="0" borderId="0" xfId="0" applyFont="1"/>
    <xf numFmtId="173" fontId="22" fillId="0" borderId="0" xfId="0" applyNumberFormat="1" applyFont="1" applyAlignment="1">
      <alignment horizontal="left"/>
    </xf>
    <xf numFmtId="0" fontId="12" fillId="0" borderId="0" xfId="0" applyFont="1" applyAlignment="1">
      <alignment wrapText="1"/>
    </xf>
    <xf numFmtId="0" fontId="12" fillId="0" borderId="26" xfId="0" applyFont="1" applyBorder="1" applyAlignment="1">
      <alignment horizontal="center"/>
    </xf>
    <xf numFmtId="0" fontId="0" fillId="0" borderId="27" xfId="0" applyBorder="1"/>
    <xf numFmtId="0" fontId="0" fillId="0" borderId="28" xfId="0" applyBorder="1"/>
    <xf numFmtId="0" fontId="12" fillId="0" borderId="19" xfId="0" applyFont="1" applyBorder="1"/>
    <xf numFmtId="0" fontId="9" fillId="0" borderId="24" xfId="0" applyFont="1" applyBorder="1" applyAlignment="1">
      <alignment horizontal="center"/>
    </xf>
    <xf numFmtId="173" fontId="12" fillId="0" borderId="0" xfId="0" applyNumberFormat="1" applyFont="1" applyAlignment="1">
      <alignment horizontal="right"/>
    </xf>
    <xf numFmtId="10" fontId="12" fillId="0" borderId="20" xfId="0" applyNumberFormat="1" applyFont="1" applyBorder="1"/>
    <xf numFmtId="173" fontId="12" fillId="0" borderId="20" xfId="0" applyNumberFormat="1" applyFont="1" applyBorder="1" applyAlignment="1">
      <alignment horizontal="right"/>
    </xf>
    <xf numFmtId="0" fontId="12" fillId="0" borderId="21" xfId="0" applyFont="1" applyBorder="1"/>
    <xf numFmtId="0" fontId="12" fillId="0" borderId="6" xfId="0" applyFont="1" applyBorder="1" applyAlignment="1">
      <alignment horizontal="center"/>
    </xf>
    <xf numFmtId="0" fontId="0" fillId="0" borderId="6" xfId="0" applyBorder="1"/>
    <xf numFmtId="0" fontId="9" fillId="0" borderId="29" xfId="0" applyFont="1" applyBorder="1" applyAlignment="1">
      <alignment horizontal="center" wrapText="1"/>
    </xf>
    <xf numFmtId="173" fontId="9" fillId="0" borderId="0" xfId="86" applyNumberFormat="1" applyFont="1" applyBorder="1" applyAlignment="1" applyProtection="1">
      <alignment horizontal="center" wrapText="1"/>
    </xf>
    <xf numFmtId="173" fontId="9" fillId="0" borderId="29" xfId="86" applyNumberFormat="1" applyFont="1" applyBorder="1" applyAlignment="1" applyProtection="1">
      <alignment horizontal="center" wrapText="1"/>
    </xf>
    <xf numFmtId="173" fontId="9" fillId="0" borderId="24" xfId="86" applyNumberFormat="1" applyFont="1" applyBorder="1" applyAlignment="1" applyProtection="1">
      <alignment horizontal="center" wrapText="1"/>
    </xf>
    <xf numFmtId="0" fontId="9" fillId="0" borderId="30" xfId="0" applyFont="1" applyBorder="1" applyAlignment="1">
      <alignment horizontal="center" wrapText="1"/>
    </xf>
    <xf numFmtId="173" fontId="9" fillId="29" borderId="29" xfId="86" applyNumberFormat="1" applyFont="1" applyFill="1" applyBorder="1" applyAlignment="1" applyProtection="1">
      <alignment horizontal="center" wrapText="1"/>
    </xf>
    <xf numFmtId="0" fontId="9" fillId="0" borderId="31" xfId="0" applyFont="1" applyBorder="1" applyAlignment="1">
      <alignment horizontal="center"/>
    </xf>
    <xf numFmtId="0" fontId="9" fillId="0" borderId="6" xfId="0" applyFont="1" applyBorder="1" applyAlignment="1">
      <alignment horizontal="center"/>
    </xf>
    <xf numFmtId="173" fontId="9" fillId="0" borderId="31" xfId="86" applyNumberFormat="1" applyFont="1" applyBorder="1" applyAlignment="1" applyProtection="1">
      <alignment horizontal="center"/>
    </xf>
    <xf numFmtId="173" fontId="9" fillId="0" borderId="22" xfId="86" applyNumberFormat="1" applyFont="1" applyBorder="1" applyAlignment="1" applyProtection="1">
      <alignment horizontal="center"/>
    </xf>
    <xf numFmtId="0" fontId="9" fillId="0" borderId="30" xfId="0" applyFont="1" applyBorder="1" applyAlignment="1">
      <alignment horizontal="center"/>
    </xf>
    <xf numFmtId="173" fontId="9" fillId="29" borderId="31" xfId="86" applyNumberFormat="1" applyFont="1" applyFill="1" applyBorder="1" applyAlignment="1" applyProtection="1">
      <alignment horizontal="center"/>
    </xf>
    <xf numFmtId="0" fontId="12" fillId="0" borderId="30" xfId="0" applyFont="1" applyBorder="1" applyAlignment="1">
      <alignment horizontal="center"/>
    </xf>
    <xf numFmtId="173" fontId="12" fillId="0" borderId="30" xfId="0" applyNumberFormat="1" applyFont="1" applyBorder="1"/>
    <xf numFmtId="173" fontId="12" fillId="0" borderId="30" xfId="86" applyNumberFormat="1" applyFont="1" applyFill="1" applyBorder="1" applyProtection="1"/>
    <xf numFmtId="173" fontId="12" fillId="0" borderId="20" xfId="86" applyNumberFormat="1" applyFont="1" applyFill="1" applyBorder="1" applyProtection="1"/>
    <xf numFmtId="174" fontId="12" fillId="0" borderId="30" xfId="0" applyNumberFormat="1" applyFont="1" applyBorder="1"/>
    <xf numFmtId="174" fontId="12" fillId="29" borderId="29" xfId="0" applyNumberFormat="1" applyFont="1" applyFill="1" applyBorder="1"/>
    <xf numFmtId="173" fontId="12" fillId="0" borderId="30" xfId="86" applyNumberFormat="1" applyFont="1" applyBorder="1" applyProtection="1"/>
    <xf numFmtId="173" fontId="12" fillId="0" borderId="20" xfId="86" applyNumberFormat="1" applyFont="1" applyBorder="1" applyProtection="1"/>
    <xf numFmtId="174" fontId="12" fillId="29" borderId="30" xfId="0" applyNumberFormat="1" applyFont="1" applyFill="1" applyBorder="1"/>
    <xf numFmtId="174" fontId="12" fillId="29" borderId="30" xfId="0" applyNumberFormat="1" applyFont="1" applyFill="1" applyBorder="1" applyAlignment="1">
      <alignment wrapText="1"/>
    </xf>
    <xf numFmtId="0" fontId="12" fillId="0" borderId="31" xfId="0" applyFont="1" applyBorder="1" applyAlignment="1">
      <alignment horizontal="center"/>
    </xf>
    <xf numFmtId="173" fontId="12" fillId="0" borderId="6" xfId="0" applyNumberFormat="1" applyFont="1" applyBorder="1"/>
    <xf numFmtId="173" fontId="12" fillId="0" borderId="31" xfId="0" applyNumberFormat="1" applyFont="1" applyBorder="1"/>
    <xf numFmtId="173" fontId="12" fillId="0" borderId="31" xfId="86" applyNumberFormat="1" applyFont="1" applyBorder="1" applyProtection="1"/>
    <xf numFmtId="174" fontId="12" fillId="0" borderId="31" xfId="0" applyNumberFormat="1" applyFont="1" applyBorder="1"/>
    <xf numFmtId="174" fontId="12" fillId="29" borderId="31" xfId="0" applyNumberFormat="1" applyFont="1" applyFill="1" applyBorder="1"/>
    <xf numFmtId="174" fontId="12" fillId="0" borderId="0" xfId="0" applyNumberFormat="1" applyFont="1"/>
    <xf numFmtId="0" fontId="8" fillId="30" borderId="0" xfId="86" applyNumberFormat="1" applyFont="1" applyFill="1" applyAlignment="1" applyProtection="1">
      <protection locked="0"/>
    </xf>
    <xf numFmtId="0" fontId="19" fillId="30" borderId="0" xfId="86" applyNumberFormat="1" applyFont="1" applyFill="1" applyAlignment="1" applyProtection="1">
      <alignment horizontal="left"/>
      <protection locked="0"/>
    </xf>
    <xf numFmtId="0" fontId="152" fillId="30" borderId="22" xfId="0" applyFont="1" applyFill="1" applyBorder="1" applyAlignment="1" applyProtection="1">
      <alignment horizontal="right"/>
      <protection locked="0"/>
    </xf>
    <xf numFmtId="173" fontId="152" fillId="30" borderId="20" xfId="86" applyNumberFormat="1" applyFont="1" applyFill="1" applyBorder="1" applyAlignment="1" applyProtection="1">
      <alignment horizontal="right"/>
      <protection locked="0"/>
    </xf>
    <xf numFmtId="0" fontId="152" fillId="30" borderId="20" xfId="0" applyFont="1" applyFill="1" applyBorder="1" applyAlignment="1" applyProtection="1">
      <alignment horizontal="right"/>
      <protection locked="0"/>
    </xf>
    <xf numFmtId="173" fontId="8" fillId="0" borderId="20" xfId="0" applyNumberFormat="1" applyFont="1" applyBorder="1" applyAlignment="1">
      <alignment horizontal="right"/>
    </xf>
    <xf numFmtId="174" fontId="8" fillId="30" borderId="29" xfId="0" applyNumberFormat="1" applyFont="1" applyFill="1" applyBorder="1" applyProtection="1">
      <protection locked="0"/>
    </xf>
    <xf numFmtId="174" fontId="8" fillId="30" borderId="30" xfId="0" applyNumberFormat="1" applyFont="1" applyFill="1" applyBorder="1" applyProtection="1">
      <protection locked="0"/>
    </xf>
    <xf numFmtId="174" fontId="8" fillId="30" borderId="31" xfId="0" applyNumberFormat="1" applyFont="1" applyFill="1" applyBorder="1" applyProtection="1">
      <protection locked="0"/>
    </xf>
    <xf numFmtId="10" fontId="0" fillId="0" borderId="0" xfId="267" applyNumberFormat="1" applyFont="1" applyAlignment="1" applyProtection="1">
      <alignment horizontal="right"/>
    </xf>
    <xf numFmtId="172" fontId="12" fillId="0" borderId="23" xfId="255" applyFont="1" applyBorder="1" applyProtection="1"/>
    <xf numFmtId="172" fontId="12" fillId="0" borderId="17" xfId="255" applyFont="1" applyBorder="1" applyProtection="1"/>
    <xf numFmtId="3" fontId="12" fillId="0" borderId="24" xfId="255" applyNumberFormat="1" applyFont="1" applyBorder="1" applyProtection="1"/>
    <xf numFmtId="172" fontId="12" fillId="0" borderId="19" xfId="255" applyFont="1" applyBorder="1" applyProtection="1"/>
    <xf numFmtId="3" fontId="12" fillId="0" borderId="20" xfId="255" applyNumberFormat="1" applyFont="1" applyBorder="1" applyProtection="1"/>
    <xf numFmtId="0" fontId="12" fillId="0" borderId="0" xfId="255" quotePrefix="1" applyNumberFormat="1" applyFont="1" applyAlignment="1" applyProtection="1">
      <alignment horizontal="center"/>
    </xf>
    <xf numFmtId="0" fontId="12" fillId="0" borderId="20" xfId="0" applyFont="1" applyBorder="1"/>
    <xf numFmtId="10" fontId="32" fillId="0" borderId="0" xfId="0" applyNumberFormat="1" applyFont="1" applyAlignment="1">
      <alignment horizontal="center"/>
    </xf>
    <xf numFmtId="174" fontId="12" fillId="0" borderId="20" xfId="0" applyNumberFormat="1" applyFont="1" applyBorder="1"/>
    <xf numFmtId="174" fontId="12" fillId="0" borderId="22" xfId="0" applyNumberFormat="1" applyFont="1" applyBorder="1"/>
    <xf numFmtId="173" fontId="12" fillId="0" borderId="24" xfId="0" applyNumberFormat="1" applyFont="1" applyBorder="1"/>
    <xf numFmtId="166" fontId="12" fillId="0" borderId="21" xfId="255" applyNumberFormat="1" applyFont="1" applyBorder="1" applyAlignment="1" applyProtection="1">
      <alignment horizontal="center"/>
    </xf>
    <xf numFmtId="0" fontId="12" fillId="0" borderId="6" xfId="255" applyNumberFormat="1" applyFont="1" applyBorder="1" applyAlignment="1" applyProtection="1">
      <alignment horizontal="center"/>
    </xf>
    <xf numFmtId="173" fontId="12" fillId="0" borderId="6" xfId="255" quotePrefix="1" applyNumberFormat="1" applyFont="1" applyBorder="1" applyAlignment="1" applyProtection="1">
      <alignment horizontal="center"/>
    </xf>
    <xf numFmtId="41" fontId="12" fillId="0" borderId="11" xfId="255" applyNumberFormat="1" applyFont="1" applyBorder="1" applyProtection="1"/>
    <xf numFmtId="10" fontId="12" fillId="0" borderId="0" xfId="267" applyNumberFormat="1" applyFont="1" applyFill="1" applyBorder="1" applyAlignment="1" applyProtection="1"/>
    <xf numFmtId="173" fontId="12" fillId="0" borderId="0" xfId="86" applyNumberFormat="1" applyFont="1" applyFill="1" applyBorder="1" applyProtection="1"/>
    <xf numFmtId="182" fontId="12" fillId="0" borderId="0" xfId="86" applyNumberFormat="1" applyFont="1" applyProtection="1"/>
    <xf numFmtId="0" fontId="9" fillId="0" borderId="23" xfId="0" applyFont="1" applyBorder="1" applyAlignment="1">
      <alignment horizontal="center"/>
    </xf>
    <xf numFmtId="173" fontId="12" fillId="0" borderId="19" xfId="86" applyNumberFormat="1" applyFont="1" applyBorder="1" applyProtection="1"/>
    <xf numFmtId="173" fontId="9" fillId="0" borderId="0" xfId="86" applyNumberFormat="1" applyFont="1" applyBorder="1" applyProtection="1"/>
    <xf numFmtId="173" fontId="12" fillId="0" borderId="20" xfId="0" applyNumberFormat="1" applyFont="1" applyBorder="1"/>
    <xf numFmtId="173" fontId="9" fillId="0" borderId="11" xfId="86" applyNumberFormat="1" applyFont="1" applyBorder="1" applyProtection="1"/>
    <xf numFmtId="173" fontId="12" fillId="0" borderId="25" xfId="0" applyNumberFormat="1" applyFont="1" applyBorder="1"/>
    <xf numFmtId="173" fontId="9" fillId="0" borderId="6" xfId="86" applyNumberFormat="1" applyFont="1" applyFill="1" applyBorder="1" applyAlignment="1" applyProtection="1">
      <alignment horizontal="left"/>
    </xf>
    <xf numFmtId="173" fontId="9" fillId="0" borderId="22" xfId="86" applyNumberFormat="1" applyFont="1" applyFill="1" applyBorder="1" applyAlignment="1" applyProtection="1">
      <alignment horizontal="left"/>
    </xf>
    <xf numFmtId="173" fontId="12" fillId="0" borderId="29" xfId="0" applyNumberFormat="1" applyFont="1" applyBorder="1"/>
    <xf numFmtId="174" fontId="12" fillId="0" borderId="29" xfId="0" applyNumberFormat="1" applyFont="1" applyBorder="1"/>
    <xf numFmtId="0" fontId="90" fillId="0" borderId="0" xfId="248" applyFont="1"/>
    <xf numFmtId="173" fontId="8" fillId="30" borderId="0" xfId="86" applyNumberFormat="1" applyFont="1" applyFill="1" applyBorder="1" applyProtection="1">
      <protection locked="0"/>
    </xf>
    <xf numFmtId="10" fontId="8" fillId="30" borderId="0" xfId="267" applyNumberFormat="1" applyFont="1" applyFill="1" applyAlignment="1" applyProtection="1">
      <alignment horizontal="right" wrapText="1"/>
      <protection locked="0"/>
    </xf>
    <xf numFmtId="44" fontId="8" fillId="30" borderId="0" xfId="115" applyFont="1" applyFill="1" applyAlignment="1" applyProtection="1">
      <alignment horizontal="right" wrapText="1"/>
      <protection locked="0"/>
    </xf>
    <xf numFmtId="173" fontId="20" fillId="30" borderId="0" xfId="86" applyNumberFormat="1" applyFont="1" applyFill="1" applyProtection="1">
      <protection locked="0"/>
    </xf>
    <xf numFmtId="191" fontId="20" fillId="30" borderId="0" xfId="0" applyNumberFormat="1" applyFont="1" applyFill="1" applyProtection="1">
      <protection locked="0"/>
    </xf>
    <xf numFmtId="0" fontId="0" fillId="30" borderId="0" xfId="0" applyFill="1" applyAlignment="1" applyProtection="1">
      <alignment horizontal="center"/>
      <protection locked="0"/>
    </xf>
    <xf numFmtId="0" fontId="20" fillId="30" borderId="0" xfId="0" applyFont="1" applyFill="1" applyProtection="1">
      <protection locked="0"/>
    </xf>
    <xf numFmtId="0" fontId="102" fillId="0" borderId="0" xfId="258" applyFont="1"/>
    <xf numFmtId="0" fontId="3" fillId="0" borderId="0" xfId="258"/>
    <xf numFmtId="0" fontId="103" fillId="0" borderId="0" xfId="258" applyFont="1"/>
    <xf numFmtId="0" fontId="104" fillId="0" borderId="0" xfId="258" applyFont="1" applyAlignment="1">
      <alignment horizontal="center"/>
    </xf>
    <xf numFmtId="0" fontId="113" fillId="0" borderId="0" xfId="258" applyFont="1" applyAlignment="1">
      <alignment horizontal="center"/>
    </xf>
    <xf numFmtId="0" fontId="3" fillId="0" borderId="0" xfId="258" applyAlignment="1">
      <alignment horizontal="center"/>
    </xf>
    <xf numFmtId="0" fontId="105" fillId="0" borderId="15" xfId="258" applyFont="1" applyBorder="1"/>
    <xf numFmtId="0" fontId="103" fillId="0" borderId="15" xfId="258" applyFont="1" applyBorder="1"/>
    <xf numFmtId="0" fontId="105" fillId="0" borderId="0" xfId="258" applyFont="1"/>
    <xf numFmtId="0" fontId="12" fillId="0" borderId="0" xfId="262" applyFont="1"/>
    <xf numFmtId="0" fontId="9" fillId="0" borderId="0" xfId="262" applyFont="1" applyAlignment="1">
      <alignment horizontal="center" wrapText="1"/>
    </xf>
    <xf numFmtId="173" fontId="12" fillId="0" borderId="11" xfId="86" applyNumberFormat="1" applyFont="1" applyFill="1" applyBorder="1" applyAlignment="1" applyProtection="1"/>
    <xf numFmtId="173" fontId="12" fillId="0" borderId="0" xfId="86" applyNumberFormat="1" applyFont="1" applyFill="1" applyBorder="1" applyAlignment="1" applyProtection="1"/>
    <xf numFmtId="0" fontId="12" fillId="0" borderId="0" xfId="248" applyFont="1" applyAlignment="1">
      <alignment horizontal="left" vertical="top" wrapText="1"/>
    </xf>
    <xf numFmtId="0" fontId="110" fillId="0" borderId="0" xfId="262"/>
    <xf numFmtId="0" fontId="9" fillId="0" borderId="0" xfId="262" applyFont="1"/>
    <xf numFmtId="173" fontId="12" fillId="0" borderId="0" xfId="262" applyNumberFormat="1" applyFont="1"/>
    <xf numFmtId="0" fontId="12" fillId="0" borderId="0" xfId="262" applyFont="1" applyAlignment="1">
      <alignment vertical="top" wrapText="1"/>
    </xf>
    <xf numFmtId="10" fontId="12" fillId="0" borderId="0" xfId="262" applyNumberFormat="1" applyFont="1"/>
    <xf numFmtId="44" fontId="12" fillId="0" borderId="0" xfId="262" applyNumberFormat="1" applyFont="1"/>
    <xf numFmtId="0" fontId="114" fillId="0" borderId="0" xfId="262" applyFont="1"/>
    <xf numFmtId="173" fontId="12" fillId="0" borderId="11" xfId="262" applyNumberFormat="1" applyFont="1" applyBorder="1"/>
    <xf numFmtId="10" fontId="12" fillId="0" borderId="0" xfId="267" applyNumberFormat="1" applyFont="1" applyProtection="1"/>
    <xf numFmtId="10" fontId="12" fillId="0" borderId="0" xfId="267" applyNumberFormat="1" applyFont="1" applyFill="1" applyProtection="1"/>
    <xf numFmtId="10" fontId="12" fillId="32" borderId="0" xfId="267" applyNumberFormat="1" applyFont="1" applyFill="1" applyProtection="1"/>
    <xf numFmtId="10" fontId="12" fillId="0" borderId="11" xfId="267" applyNumberFormat="1" applyFont="1" applyBorder="1" applyProtection="1"/>
    <xf numFmtId="10" fontId="9" fillId="0" borderId="0" xfId="267" applyNumberFormat="1" applyFont="1" applyProtection="1"/>
    <xf numFmtId="173" fontId="12" fillId="0" borderId="11" xfId="86" applyNumberFormat="1" applyFont="1" applyFill="1" applyBorder="1" applyProtection="1"/>
    <xf numFmtId="0" fontId="115" fillId="0" borderId="0" xfId="262" applyFont="1"/>
    <xf numFmtId="0" fontId="94" fillId="0" borderId="0" xfId="262" applyFont="1"/>
    <xf numFmtId="43" fontId="12" fillId="0" borderId="0" xfId="262" applyNumberFormat="1" applyFont="1"/>
    <xf numFmtId="10" fontId="12" fillId="0" borderId="11" xfId="267" applyNumberFormat="1" applyFont="1" applyFill="1" applyBorder="1" applyProtection="1"/>
    <xf numFmtId="10" fontId="94" fillId="0" borderId="0" xfId="267" applyNumberFormat="1" applyFont="1" applyFill="1" applyProtection="1"/>
    <xf numFmtId="10" fontId="12" fillId="30" borderId="0" xfId="267" applyNumberFormat="1" applyFont="1" applyFill="1" applyAlignment="1" applyProtection="1">
      <alignment horizontal="right" wrapText="1"/>
      <protection locked="0"/>
    </xf>
    <xf numFmtId="164" fontId="8" fillId="30" borderId="0" xfId="267" applyNumberFormat="1" applyFont="1" applyFill="1" applyAlignment="1" applyProtection="1">
      <alignment horizontal="right" wrapText="1"/>
      <protection locked="0"/>
    </xf>
    <xf numFmtId="44" fontId="12" fillId="30" borderId="0" xfId="115" applyFont="1" applyFill="1" applyAlignment="1" applyProtection="1">
      <alignment horizontal="right" wrapText="1"/>
      <protection locked="0"/>
    </xf>
    <xf numFmtId="173" fontId="12" fillId="30" borderId="0" xfId="86" applyNumberFormat="1" applyFont="1" applyFill="1" applyProtection="1">
      <protection locked="0"/>
    </xf>
    <xf numFmtId="170" fontId="122" fillId="30" borderId="31" xfId="0" applyNumberFormat="1" applyFont="1" applyFill="1" applyBorder="1" applyAlignment="1" applyProtection="1">
      <alignment horizontal="center"/>
      <protection locked="0"/>
    </xf>
    <xf numFmtId="0" fontId="122" fillId="0" borderId="0" xfId="0" applyFont="1" applyAlignment="1">
      <alignment horizontal="left"/>
    </xf>
    <xf numFmtId="0" fontId="122" fillId="0" borderId="0" xfId="0" applyFont="1"/>
    <xf numFmtId="0" fontId="122" fillId="0" borderId="29" xfId="0" applyFont="1" applyBorder="1" applyAlignment="1">
      <alignment horizontal="center" wrapText="1"/>
    </xf>
    <xf numFmtId="0" fontId="122" fillId="0" borderId="30" xfId="0" applyFont="1" applyBorder="1" applyAlignment="1">
      <alignment horizontal="center" wrapText="1"/>
    </xf>
    <xf numFmtId="0" fontId="122" fillId="0" borderId="30" xfId="0" applyFont="1" applyBorder="1"/>
    <xf numFmtId="170" fontId="123" fillId="0" borderId="0" xfId="0" applyNumberFormat="1" applyFont="1" applyAlignment="1">
      <alignment horizontal="right"/>
    </xf>
    <xf numFmtId="170" fontId="122" fillId="0" borderId="0" xfId="0" applyNumberFormat="1" applyFont="1" applyAlignment="1">
      <alignment horizontal="center"/>
    </xf>
    <xf numFmtId="170" fontId="122" fillId="0" borderId="0" xfId="0" applyNumberFormat="1" applyFont="1"/>
    <xf numFmtId="170" fontId="123" fillId="0" borderId="0" xfId="0" applyNumberFormat="1" applyFont="1" applyAlignment="1">
      <alignment horizontal="center"/>
    </xf>
    <xf numFmtId="170" fontId="5" fillId="0" borderId="0" xfId="0" applyNumberFormat="1" applyFont="1"/>
    <xf numFmtId="5" fontId="122" fillId="0" borderId="31" xfId="0" applyNumberFormat="1" applyFont="1" applyBorder="1" applyAlignment="1">
      <alignment horizontal="center"/>
    </xf>
    <xf numFmtId="173" fontId="122" fillId="0" borderId="0" xfId="0" applyNumberFormat="1" applyFont="1"/>
    <xf numFmtId="0" fontId="122" fillId="0" borderId="0" xfId="0" applyFont="1" applyAlignment="1">
      <alignment horizontal="center"/>
    </xf>
    <xf numFmtId="173" fontId="122" fillId="0" borderId="6" xfId="0" applyNumberFormat="1" applyFont="1" applyBorder="1"/>
    <xf numFmtId="0" fontId="122" fillId="0" borderId="6" xfId="0" applyFont="1" applyBorder="1" applyAlignment="1">
      <alignment horizontal="center"/>
    </xf>
    <xf numFmtId="0" fontId="5" fillId="0" borderId="6" xfId="0" applyFont="1" applyBorder="1"/>
    <xf numFmtId="173" fontId="122" fillId="0" borderId="0" xfId="0" applyNumberFormat="1" applyFont="1" applyAlignment="1">
      <alignment horizontal="left"/>
    </xf>
    <xf numFmtId="0" fontId="123" fillId="0" borderId="0" xfId="0" applyFont="1" applyAlignment="1">
      <alignment horizontal="left"/>
    </xf>
    <xf numFmtId="0" fontId="123" fillId="0" borderId="0" xfId="0" applyFont="1" applyAlignment="1">
      <alignment horizontal="center" wrapText="1"/>
    </xf>
    <xf numFmtId="0" fontId="123" fillId="0" borderId="0" xfId="0" applyFont="1" applyAlignment="1">
      <alignment horizontal="center"/>
    </xf>
    <xf numFmtId="173" fontId="123" fillId="0" borderId="0" xfId="0" applyNumberFormat="1" applyFont="1" applyAlignment="1">
      <alignment horizontal="center" wrapText="1"/>
    </xf>
    <xf numFmtId="173" fontId="123" fillId="0" borderId="0" xfId="0" applyNumberFormat="1" applyFont="1" applyAlignment="1">
      <alignment horizontal="center"/>
    </xf>
    <xf numFmtId="176" fontId="122" fillId="0" borderId="0" xfId="268" applyNumberFormat="1" applyFont="1" applyFill="1" applyProtection="1"/>
    <xf numFmtId="173" fontId="122" fillId="0" borderId="0" xfId="0" applyNumberFormat="1" applyFont="1" applyAlignment="1">
      <alignment horizontal="center"/>
    </xf>
    <xf numFmtId="0" fontId="124" fillId="0" borderId="0" xfId="0" applyFont="1" applyAlignment="1">
      <alignment horizontal="center"/>
    </xf>
    <xf numFmtId="173" fontId="122" fillId="0" borderId="0" xfId="88" applyNumberFormat="1" applyFont="1" applyFill="1" applyProtection="1"/>
    <xf numFmtId="176" fontId="122" fillId="0" borderId="0" xfId="0" applyNumberFormat="1" applyFont="1"/>
    <xf numFmtId="173" fontId="122" fillId="0" borderId="11" xfId="88" applyNumberFormat="1" applyFont="1" applyFill="1" applyBorder="1" applyProtection="1"/>
    <xf numFmtId="173" fontId="123" fillId="0" borderId="0" xfId="88" applyNumberFormat="1" applyFont="1" applyFill="1" applyProtection="1"/>
    <xf numFmtId="173" fontId="123" fillId="0" borderId="0" xfId="88" applyNumberFormat="1" applyFont="1" applyFill="1" applyAlignment="1" applyProtection="1">
      <alignment horizontal="center"/>
    </xf>
    <xf numFmtId="0" fontId="124" fillId="0" borderId="0" xfId="0" applyFont="1"/>
    <xf numFmtId="173" fontId="123" fillId="0" borderId="0" xfId="0" applyNumberFormat="1" applyFont="1"/>
    <xf numFmtId="195" fontId="5" fillId="0" borderId="0" xfId="0" applyNumberFormat="1" applyFont="1"/>
    <xf numFmtId="173" fontId="5" fillId="0" borderId="0" xfId="88" applyNumberFormat="1" applyFont="1" applyFill="1" applyProtection="1"/>
    <xf numFmtId="173" fontId="5" fillId="0" borderId="0" xfId="116" applyNumberFormat="1" applyFont="1" applyFill="1" applyProtection="1"/>
    <xf numFmtId="176" fontId="122" fillId="30" borderId="0" xfId="268" applyNumberFormat="1" applyFont="1" applyFill="1" applyProtection="1">
      <protection locked="0"/>
    </xf>
    <xf numFmtId="173" fontId="2" fillId="30" borderId="6" xfId="255" applyNumberFormat="1" applyFont="1" applyFill="1" applyBorder="1" applyAlignment="1" applyProtection="1">
      <alignment horizontal="center"/>
      <protection locked="0"/>
    </xf>
    <xf numFmtId="174" fontId="152" fillId="30" borderId="0" xfId="0" applyNumberFormat="1" applyFont="1" applyFill="1" applyProtection="1">
      <protection locked="0"/>
    </xf>
    <xf numFmtId="174" fontId="12" fillId="30" borderId="6" xfId="0" applyNumberFormat="1" applyFont="1" applyFill="1" applyBorder="1" applyProtection="1">
      <protection locked="0"/>
    </xf>
    <xf numFmtId="41" fontId="12" fillId="32" borderId="0" xfId="255" applyNumberFormat="1" applyFont="1" applyFill="1" applyProtection="1"/>
    <xf numFmtId="41" fontId="12" fillId="32" borderId="0" xfId="255" applyNumberFormat="1" applyFont="1" applyFill="1" applyAlignment="1" applyProtection="1">
      <alignment horizontal="center"/>
    </xf>
    <xf numFmtId="41" fontId="12" fillId="32" borderId="0" xfId="0" applyNumberFormat="1" applyFont="1" applyFill="1"/>
    <xf numFmtId="173" fontId="12" fillId="32" borderId="0" xfId="86" applyNumberFormat="1" applyFont="1" applyFill="1" applyProtection="1"/>
    <xf numFmtId="10" fontId="12" fillId="32" borderId="0" xfId="0" applyNumberFormat="1" applyFont="1" applyFill="1"/>
    <xf numFmtId="10" fontId="13" fillId="32" borderId="0" xfId="0" applyNumberFormat="1" applyFont="1" applyFill="1"/>
    <xf numFmtId="3" fontId="5" fillId="30" borderId="0" xfId="0" applyNumberFormat="1" applyFont="1" applyFill="1" applyAlignment="1" applyProtection="1">
      <alignment horizontal="center"/>
      <protection locked="0"/>
    </xf>
    <xf numFmtId="0" fontId="15" fillId="30" borderId="0" xfId="248" applyFont="1" applyFill="1" applyAlignment="1" applyProtection="1">
      <alignment horizontal="left"/>
      <protection locked="0"/>
    </xf>
    <xf numFmtId="0" fontId="15" fillId="30" borderId="0" xfId="248" applyFont="1" applyFill="1" applyProtection="1">
      <protection locked="0"/>
    </xf>
    <xf numFmtId="0" fontId="10" fillId="30" borderId="0" xfId="248" applyFont="1" applyFill="1" applyAlignment="1" applyProtection="1">
      <alignment horizontal="center"/>
      <protection locked="0"/>
    </xf>
    <xf numFmtId="3" fontId="63" fillId="30" borderId="0" xfId="0" quotePrefix="1" applyNumberFormat="1" applyFont="1" applyFill="1" applyProtection="1">
      <protection locked="0"/>
    </xf>
    <xf numFmtId="3" fontId="125" fillId="30" borderId="0" xfId="0" applyNumberFormat="1" applyFont="1" applyFill="1" applyProtection="1">
      <protection locked="0"/>
    </xf>
    <xf numFmtId="41" fontId="125" fillId="30" borderId="0" xfId="248" applyNumberFormat="1" applyFont="1" applyFill="1" applyProtection="1">
      <protection locked="0"/>
    </xf>
    <xf numFmtId="0" fontId="63" fillId="0" borderId="0" xfId="248" applyFont="1" applyAlignment="1">
      <alignment horizontal="center"/>
    </xf>
    <xf numFmtId="0" fontId="63" fillId="0" borderId="0" xfId="248" applyFont="1"/>
    <xf numFmtId="41" fontId="63" fillId="0" borderId="0" xfId="248" applyNumberFormat="1" applyFont="1"/>
    <xf numFmtId="41" fontId="125" fillId="30" borderId="11" xfId="248" applyNumberFormat="1" applyFont="1" applyFill="1" applyBorder="1" applyProtection="1">
      <protection locked="0"/>
    </xf>
    <xf numFmtId="0" fontId="63" fillId="0" borderId="0" xfId="0" applyFont="1"/>
    <xf numFmtId="173" fontId="63" fillId="0" borderId="0" xfId="86" applyNumberFormat="1" applyFont="1" applyFill="1"/>
    <xf numFmtId="173" fontId="126" fillId="0" borderId="0" xfId="86" applyNumberFormat="1" applyFont="1" applyFill="1"/>
    <xf numFmtId="38" fontId="63" fillId="0" borderId="0" xfId="0" applyNumberFormat="1" applyFont="1"/>
    <xf numFmtId="0" fontId="63" fillId="0" borderId="0" xfId="207" applyFont="1" applyAlignment="1">
      <alignment horizontal="center"/>
    </xf>
    <xf numFmtId="0" fontId="63" fillId="0" borderId="0" xfId="207" applyFont="1"/>
    <xf numFmtId="0" fontId="63" fillId="0" borderId="0" xfId="248" applyFont="1" applyAlignment="1">
      <alignment horizontal="left"/>
    </xf>
    <xf numFmtId="3" fontId="63" fillId="0" borderId="0" xfId="207" applyNumberFormat="1" applyFont="1"/>
    <xf numFmtId="38" fontId="63" fillId="0" borderId="0" xfId="0" applyNumberFormat="1" applyFont="1" applyAlignment="1">
      <alignment horizontal="center"/>
    </xf>
    <xf numFmtId="0" fontId="127" fillId="0" borderId="0" xfId="248" applyFont="1" applyAlignment="1">
      <alignment horizontal="center"/>
    </xf>
    <xf numFmtId="0" fontId="40" fillId="0" borderId="0" xfId="248" applyFont="1" applyAlignment="1">
      <alignment horizontal="center"/>
    </xf>
    <xf numFmtId="9" fontId="40" fillId="0" borderId="0" xfId="248" applyNumberFormat="1" applyFont="1" applyAlignment="1">
      <alignment horizontal="center"/>
    </xf>
    <xf numFmtId="0" fontId="40" fillId="0" borderId="0" xfId="248" applyFont="1"/>
    <xf numFmtId="0" fontId="40" fillId="0" borderId="0" xfId="248" applyFont="1" applyAlignment="1">
      <alignment horizontal="center" wrapText="1"/>
    </xf>
    <xf numFmtId="0" fontId="127" fillId="0" borderId="0" xfId="248" applyFont="1" applyAlignment="1">
      <alignment horizontal="right"/>
    </xf>
    <xf numFmtId="0" fontId="63" fillId="0" borderId="0" xfId="0" applyFont="1" applyAlignment="1">
      <alignment horizontal="center" wrapText="1"/>
    </xf>
    <xf numFmtId="0" fontId="40" fillId="0" borderId="11" xfId="248" applyFont="1" applyBorder="1" applyAlignment="1">
      <alignment horizontal="center"/>
    </xf>
    <xf numFmtId="173" fontId="153" fillId="30" borderId="0" xfId="86" applyNumberFormat="1" applyFont="1" applyFill="1"/>
    <xf numFmtId="173" fontId="12" fillId="0" borderId="30" xfId="98" applyNumberFormat="1" applyFont="1" applyFill="1" applyBorder="1" applyProtection="1"/>
    <xf numFmtId="173" fontId="12" fillId="0" borderId="20" xfId="98" applyNumberFormat="1" applyFont="1" applyFill="1" applyBorder="1" applyProtection="1"/>
    <xf numFmtId="0" fontId="12" fillId="0" borderId="0" xfId="0" applyFont="1" applyAlignment="1">
      <alignment vertical="top" wrapText="1"/>
    </xf>
    <xf numFmtId="0" fontId="9" fillId="0" borderId="0" xfId="261" applyFont="1" applyAlignment="1">
      <alignment horizontal="center"/>
    </xf>
    <xf numFmtId="43" fontId="12" fillId="0" borderId="0" xfId="113" applyFont="1" applyFill="1" applyProtection="1"/>
    <xf numFmtId="173" fontId="8" fillId="30" borderId="0" xfId="113" applyNumberFormat="1" applyFont="1" applyFill="1" applyProtection="1">
      <protection locked="0"/>
    </xf>
    <xf numFmtId="173" fontId="12" fillId="0" borderId="0" xfId="261" applyNumberFormat="1" applyFont="1"/>
    <xf numFmtId="0" fontId="130" fillId="0" borderId="0" xfId="0" applyFont="1" applyAlignment="1">
      <alignment vertical="center"/>
    </xf>
    <xf numFmtId="0" fontId="71" fillId="0" borderId="11" xfId="256" applyFont="1" applyBorder="1" applyAlignment="1">
      <alignment horizontal="center"/>
    </xf>
    <xf numFmtId="173" fontId="78" fillId="30" borderId="11" xfId="256" applyNumberFormat="1" applyFont="1" applyFill="1" applyBorder="1" applyProtection="1">
      <protection locked="0"/>
    </xf>
    <xf numFmtId="173" fontId="78" fillId="0" borderId="11" xfId="256" applyNumberFormat="1" applyFont="1" applyBorder="1"/>
    <xf numFmtId="0" fontId="71" fillId="0" borderId="11" xfId="256" applyFont="1" applyBorder="1"/>
    <xf numFmtId="0" fontId="12" fillId="0" borderId="11" xfId="256" applyFont="1" applyBorder="1"/>
    <xf numFmtId="0" fontId="18" fillId="0" borderId="11" xfId="256" applyFont="1" applyBorder="1"/>
    <xf numFmtId="173" fontId="89" fillId="0" borderId="11" xfId="256" applyNumberFormat="1" applyFont="1" applyBorder="1"/>
    <xf numFmtId="173" fontId="71" fillId="0" borderId="0" xfId="256" applyNumberFormat="1" applyFont="1" applyProtection="1">
      <protection locked="0"/>
    </xf>
    <xf numFmtId="9" fontId="78" fillId="30" borderId="0" xfId="267" applyFont="1" applyFill="1" applyBorder="1" applyProtection="1">
      <protection locked="0"/>
    </xf>
    <xf numFmtId="173" fontId="78" fillId="30" borderId="0" xfId="256" applyNumberFormat="1" applyFont="1" applyFill="1" applyAlignment="1" applyProtection="1">
      <alignment horizontal="center"/>
      <protection locked="0"/>
    </xf>
    <xf numFmtId="0" fontId="12" fillId="0" borderId="0" xfId="162"/>
    <xf numFmtId="0" fontId="12" fillId="0" borderId="0" xfId="162" applyAlignment="1">
      <alignment horizontal="center"/>
    </xf>
    <xf numFmtId="41" fontId="8" fillId="30" borderId="0" xfId="249" applyNumberFormat="1" applyFont="1" applyFill="1" applyProtection="1">
      <protection locked="0"/>
    </xf>
    <xf numFmtId="0" fontId="9" fillId="0" borderId="0" xfId="162" applyFont="1" applyAlignment="1">
      <alignment horizontal="left"/>
    </xf>
    <xf numFmtId="3" fontId="12" fillId="0" borderId="0" xfId="162" applyNumberFormat="1"/>
    <xf numFmtId="0" fontId="13" fillId="0" borderId="0" xfId="162" applyFont="1" applyAlignment="1">
      <alignment horizontal="center"/>
    </xf>
    <xf numFmtId="3" fontId="12" fillId="0" borderId="0" xfId="162" applyNumberFormat="1" applyAlignment="1">
      <alignment horizontal="centerContinuous"/>
    </xf>
    <xf numFmtId="3" fontId="13" fillId="0" borderId="0" xfId="162" applyNumberFormat="1" applyFont="1" applyAlignment="1">
      <alignment horizontal="centerContinuous"/>
    </xf>
    <xf numFmtId="3" fontId="12" fillId="0" borderId="32" xfId="162" applyNumberFormat="1" applyBorder="1"/>
    <xf numFmtId="3" fontId="12" fillId="0" borderId="0" xfId="162" applyNumberFormat="1" applyAlignment="1">
      <alignment horizontal="left"/>
    </xf>
    <xf numFmtId="37" fontId="12" fillId="0" borderId="0" xfId="162" applyNumberFormat="1"/>
    <xf numFmtId="37" fontId="12" fillId="0" borderId="0" xfId="162" applyNumberFormat="1" applyAlignment="1">
      <alignment horizontal="center"/>
    </xf>
    <xf numFmtId="37" fontId="12" fillId="0" borderId="32" xfId="162" applyNumberFormat="1" applyBorder="1"/>
    <xf numFmtId="37" fontId="12" fillId="0" borderId="33" xfId="162" applyNumberFormat="1" applyBorder="1"/>
    <xf numFmtId="37" fontId="12" fillId="33" borderId="0" xfId="162" applyNumberFormat="1" applyFill="1"/>
    <xf numFmtId="37" fontId="12" fillId="0" borderId="34" xfId="162" applyNumberFormat="1" applyBorder="1"/>
    <xf numFmtId="3" fontId="12" fillId="0" borderId="0" xfId="162" applyNumberFormat="1" applyAlignment="1" applyProtection="1">
      <alignment horizontal="center"/>
      <protection locked="0"/>
    </xf>
    <xf numFmtId="3" fontId="12" fillId="0" borderId="0" xfId="162" applyNumberFormat="1" applyAlignment="1">
      <alignment horizontal="center"/>
    </xf>
    <xf numFmtId="3" fontId="12" fillId="0" borderId="0" xfId="162" applyNumberFormat="1" applyProtection="1">
      <protection locked="0"/>
    </xf>
    <xf numFmtId="0" fontId="12" fillId="0" borderId="0" xfId="162" applyAlignment="1">
      <alignment horizontal="left"/>
    </xf>
    <xf numFmtId="37" fontId="12" fillId="0" borderId="14" xfId="162" applyNumberFormat="1" applyBorder="1"/>
    <xf numFmtId="37" fontId="154" fillId="0" borderId="33" xfId="162" applyNumberFormat="1" applyFont="1" applyBorder="1"/>
    <xf numFmtId="37" fontId="154" fillId="0" borderId="0" xfId="162" applyNumberFormat="1" applyFont="1"/>
    <xf numFmtId="4" fontId="12" fillId="0" borderId="0" xfId="162" applyNumberFormat="1" applyAlignment="1">
      <alignment horizontal="center"/>
    </xf>
    <xf numFmtId="196" fontId="8" fillId="30" borderId="0" xfId="249" applyNumberFormat="1" applyFont="1" applyFill="1" applyProtection="1">
      <protection locked="0"/>
    </xf>
    <xf numFmtId="0" fontId="151" fillId="0" borderId="0" xfId="162" applyFont="1" applyAlignment="1">
      <alignment horizontal="left"/>
    </xf>
    <xf numFmtId="3" fontId="12" fillId="34" borderId="0" xfId="162" applyNumberFormat="1" applyFill="1"/>
    <xf numFmtId="0" fontId="12" fillId="34" borderId="0" xfId="162" applyFill="1"/>
    <xf numFmtId="3" fontId="12" fillId="34" borderId="0" xfId="162" applyNumberFormat="1" applyFill="1" applyAlignment="1" applyProtection="1">
      <alignment horizontal="center"/>
      <protection locked="0"/>
    </xf>
    <xf numFmtId="0" fontId="12" fillId="34" borderId="0" xfId="162" applyFill="1" applyAlignment="1">
      <alignment horizontal="center"/>
    </xf>
    <xf numFmtId="0" fontId="13" fillId="34" borderId="0" xfId="162" applyFont="1" applyFill="1" applyAlignment="1">
      <alignment horizontal="center"/>
    </xf>
    <xf numFmtId="41" fontId="8" fillId="30" borderId="0" xfId="250" applyNumberFormat="1" applyFont="1" applyFill="1"/>
    <xf numFmtId="3" fontId="9" fillId="0" borderId="0" xfId="162" applyNumberFormat="1" applyFont="1" applyAlignment="1">
      <alignment horizontal="left"/>
    </xf>
    <xf numFmtId="196" fontId="8" fillId="30" borderId="0" xfId="250" applyNumberFormat="1" applyFont="1" applyFill="1" applyProtection="1">
      <protection locked="0"/>
    </xf>
    <xf numFmtId="0" fontId="18" fillId="0" borderId="11" xfId="256" applyFont="1" applyBorder="1" applyAlignment="1">
      <alignment horizontal="center"/>
    </xf>
    <xf numFmtId="173" fontId="71" fillId="0" borderId="11" xfId="256" applyNumberFormat="1" applyFont="1" applyBorder="1"/>
    <xf numFmtId="0" fontId="12" fillId="0" borderId="0" xfId="0" applyFont="1" applyAlignment="1">
      <alignment horizontal="right"/>
    </xf>
    <xf numFmtId="0" fontId="9" fillId="0" borderId="0" xfId="259" applyFont="1" applyAlignment="1">
      <alignment horizontal="centerContinuous"/>
    </xf>
    <xf numFmtId="0" fontId="12" fillId="0" borderId="0" xfId="259" applyAlignment="1">
      <alignment horizontal="left"/>
    </xf>
    <xf numFmtId="0" fontId="9" fillId="0" borderId="0" xfId="259" applyFont="1" applyAlignment="1">
      <alignment horizontal="center"/>
    </xf>
    <xf numFmtId="0" fontId="9" fillId="0" borderId="0" xfId="259" applyFont="1" applyAlignment="1">
      <alignment wrapText="1"/>
    </xf>
    <xf numFmtId="0" fontId="12" fillId="0" borderId="35" xfId="0" applyFont="1" applyBorder="1" applyAlignment="1">
      <alignment horizontal="center" wrapText="1"/>
    </xf>
    <xf numFmtId="0" fontId="9" fillId="0" borderId="36" xfId="259" applyFont="1" applyBorder="1" applyAlignment="1">
      <alignment horizontal="center" wrapText="1"/>
    </xf>
    <xf numFmtId="0" fontId="9" fillId="0" borderId="0" xfId="259" applyFont="1" applyAlignment="1">
      <alignment horizontal="center" wrapText="1"/>
    </xf>
    <xf numFmtId="0" fontId="12" fillId="0" borderId="37" xfId="0" applyFont="1" applyBorder="1" applyAlignment="1">
      <alignment horizontal="center"/>
    </xf>
    <xf numFmtId="0" fontId="9" fillId="0" borderId="38" xfId="259" applyFont="1" applyBorder="1" applyAlignment="1">
      <alignment horizontal="center"/>
    </xf>
    <xf numFmtId="0" fontId="132" fillId="0" borderId="0" xfId="0" applyFont="1"/>
    <xf numFmtId="3" fontId="24" fillId="0" borderId="11" xfId="207" applyNumberFormat="1" applyFont="1" applyBorder="1" applyAlignment="1">
      <alignment horizontal="center" wrapText="1"/>
    </xf>
    <xf numFmtId="0" fontId="12" fillId="0" borderId="38" xfId="259" quotePrefix="1" applyBorder="1" applyAlignment="1">
      <alignment horizontal="left"/>
    </xf>
    <xf numFmtId="173" fontId="8" fillId="26" borderId="0" xfId="108" applyNumberFormat="1" applyFont="1" applyFill="1" applyAlignment="1" applyProtection="1">
      <protection locked="0"/>
    </xf>
    <xf numFmtId="0" fontId="12" fillId="0" borderId="38" xfId="259" applyBorder="1"/>
    <xf numFmtId="0" fontId="12" fillId="0" borderId="40" xfId="0" applyFont="1" applyBorder="1" applyAlignment="1">
      <alignment horizontal="center"/>
    </xf>
    <xf numFmtId="0" fontId="12" fillId="0" borderId="39" xfId="259" applyBorder="1"/>
    <xf numFmtId="0" fontId="12" fillId="0" borderId="39" xfId="259" applyBorder="1" applyAlignment="1">
      <alignment horizontal="right"/>
    </xf>
    <xf numFmtId="173" fontId="12" fillId="0" borderId="14" xfId="88" applyNumberFormat="1" applyFont="1" applyBorder="1"/>
    <xf numFmtId="0" fontId="12" fillId="0" borderId="0" xfId="259"/>
    <xf numFmtId="37" fontId="12" fillId="0" borderId="0" xfId="259" applyNumberFormat="1"/>
    <xf numFmtId="172" fontId="12" fillId="0" borderId="0" xfId="252" applyFont="1"/>
    <xf numFmtId="0" fontId="12" fillId="0" borderId="16" xfId="0" applyFont="1" applyBorder="1" applyAlignment="1">
      <alignment horizontal="center"/>
    </xf>
    <xf numFmtId="0" fontId="12" fillId="0" borderId="42" xfId="259" applyBorder="1" applyAlignment="1">
      <alignment horizontal="right"/>
    </xf>
    <xf numFmtId="0" fontId="12" fillId="0" borderId="35" xfId="0" applyFont="1" applyBorder="1" applyAlignment="1">
      <alignment horizontal="center"/>
    </xf>
    <xf numFmtId="0" fontId="9" fillId="0" borderId="2" xfId="259" applyFont="1" applyBorder="1" applyAlignment="1">
      <alignment horizontal="centerContinuous" wrapText="1"/>
    </xf>
    <xf numFmtId="0" fontId="12" fillId="0" borderId="35" xfId="0" applyFont="1" applyBorder="1"/>
    <xf numFmtId="0" fontId="12" fillId="0" borderId="2" xfId="0" applyFont="1" applyBorder="1"/>
    <xf numFmtId="0" fontId="12" fillId="0" borderId="37" xfId="0" applyFont="1" applyBorder="1" applyAlignment="1">
      <alignment horizontal="center" wrapText="1"/>
    </xf>
    <xf numFmtId="0" fontId="9" fillId="0" borderId="37" xfId="259" applyFont="1" applyBorder="1" applyAlignment="1">
      <alignment horizontal="center" wrapText="1"/>
    </xf>
    <xf numFmtId="0" fontId="9" fillId="0" borderId="37" xfId="259" applyFont="1" applyBorder="1" applyAlignment="1">
      <alignment horizontal="center"/>
    </xf>
    <xf numFmtId="3" fontId="12" fillId="0" borderId="40" xfId="207" applyNumberFormat="1" applyBorder="1" applyAlignment="1">
      <alignment horizontal="center" wrapText="1"/>
    </xf>
    <xf numFmtId="3" fontId="12" fillId="0" borderId="11" xfId="207" applyNumberFormat="1" applyBorder="1" applyAlignment="1">
      <alignment horizontal="center" wrapText="1"/>
    </xf>
    <xf numFmtId="0" fontId="12" fillId="0" borderId="0" xfId="259" quotePrefix="1" applyAlignment="1">
      <alignment horizontal="left"/>
    </xf>
    <xf numFmtId="173" fontId="8" fillId="26" borderId="37" xfId="108" applyNumberFormat="1" applyFont="1" applyFill="1" applyBorder="1" applyAlignment="1" applyProtection="1">
      <protection locked="0"/>
    </xf>
    <xf numFmtId="0" fontId="12" fillId="0" borderId="11" xfId="259" applyBorder="1"/>
    <xf numFmtId="173" fontId="8" fillId="26" borderId="40" xfId="108" applyNumberFormat="1" applyFont="1" applyFill="1" applyBorder="1" applyAlignment="1" applyProtection="1">
      <protection locked="0"/>
    </xf>
    <xf numFmtId="0" fontId="12" fillId="0" borderId="14" xfId="0" applyFont="1" applyBorder="1" applyAlignment="1">
      <alignment horizontal="center"/>
    </xf>
    <xf numFmtId="173" fontId="12" fillId="0" borderId="43" xfId="88" applyNumberFormat="1" applyFont="1" applyBorder="1"/>
    <xf numFmtId="0" fontId="132" fillId="0" borderId="0" xfId="0" applyFont="1" applyAlignment="1">
      <alignment horizontal="center"/>
    </xf>
    <xf numFmtId="0" fontId="17" fillId="0" borderId="0" xfId="207" applyFont="1" applyAlignment="1">
      <alignment horizontal="left" vertical="center"/>
    </xf>
    <xf numFmtId="0" fontId="17" fillId="0" borderId="0" xfId="207" applyFont="1" applyAlignment="1">
      <alignment horizontal="center" vertical="center"/>
    </xf>
    <xf numFmtId="0" fontId="17" fillId="0" borderId="0" xfId="248" applyFont="1" applyAlignment="1">
      <alignment horizontal="center" vertical="center" wrapText="1"/>
    </xf>
    <xf numFmtId="0" fontId="17" fillId="0" borderId="0" xfId="207" quotePrefix="1" applyFont="1" applyAlignment="1">
      <alignment horizontal="center" vertical="center" wrapText="1"/>
    </xf>
    <xf numFmtId="0" fontId="17" fillId="0" borderId="0" xfId="207" applyFont="1" applyAlignment="1">
      <alignment horizontal="left"/>
    </xf>
    <xf numFmtId="173" fontId="0" fillId="0" borderId="0" xfId="108" applyNumberFormat="1" applyFont="1" applyFill="1"/>
    <xf numFmtId="3" fontId="12" fillId="0" borderId="0" xfId="207" applyNumberFormat="1" applyAlignment="1">
      <alignment horizontal="right"/>
    </xf>
    <xf numFmtId="3" fontId="12" fillId="32" borderId="0" xfId="207" applyNumberFormat="1" applyFill="1"/>
    <xf numFmtId="0" fontId="12" fillId="30" borderId="0" xfId="207" applyFill="1" applyProtection="1">
      <protection locked="0"/>
    </xf>
    <xf numFmtId="173" fontId="8" fillId="30" borderId="11" xfId="89" applyNumberFormat="1" applyFont="1" applyFill="1" applyBorder="1" applyAlignment="1" applyProtection="1">
      <alignment horizontal="right"/>
      <protection locked="0"/>
    </xf>
    <xf numFmtId="173" fontId="0" fillId="0" borderId="11" xfId="108" applyNumberFormat="1" applyFont="1" applyFill="1" applyBorder="1"/>
    <xf numFmtId="173" fontId="12" fillId="0" borderId="0" xfId="207" applyNumberFormat="1"/>
    <xf numFmtId="0" fontId="81" fillId="0" borderId="0" xfId="207" applyFont="1" applyAlignment="1">
      <alignment horizontal="center"/>
    </xf>
    <xf numFmtId="173" fontId="8" fillId="30" borderId="0" xfId="89" applyNumberFormat="1" applyFont="1" applyFill="1" applyBorder="1" applyAlignment="1" applyProtection="1">
      <alignment horizontal="left"/>
      <protection locked="0"/>
    </xf>
    <xf numFmtId="0" fontId="8" fillId="30" borderId="0" xfId="89" applyNumberFormat="1" applyFont="1" applyFill="1" applyBorder="1" applyAlignment="1" applyProtection="1">
      <alignment horizontal="center"/>
      <protection locked="0"/>
    </xf>
    <xf numFmtId="173" fontId="63" fillId="0" borderId="0" xfId="108" applyNumberFormat="1" applyFont="1" applyFill="1" applyAlignment="1" applyProtection="1">
      <alignment horizontal="left"/>
      <protection locked="0"/>
    </xf>
    <xf numFmtId="173" fontId="63" fillId="0" borderId="11" xfId="108" applyNumberFormat="1" applyFont="1" applyFill="1" applyBorder="1" applyAlignment="1" applyProtection="1">
      <alignment horizontal="left"/>
      <protection locked="0"/>
    </xf>
    <xf numFmtId="0" fontId="15" fillId="0" borderId="0" xfId="162" applyFont="1"/>
    <xf numFmtId="0" fontId="15" fillId="0" borderId="0" xfId="162" applyFont="1" applyAlignment="1">
      <alignment horizontal="center"/>
    </xf>
    <xf numFmtId="0" fontId="15" fillId="0" borderId="0" xfId="162" applyFont="1" applyAlignment="1">
      <alignment horizontal="right"/>
    </xf>
    <xf numFmtId="0" fontId="91" fillId="0" borderId="0" xfId="259" applyFont="1" applyAlignment="1">
      <alignment horizontal="centerContinuous"/>
    </xf>
    <xf numFmtId="0" fontId="15" fillId="0" borderId="0" xfId="259" applyFont="1" applyAlignment="1">
      <alignment horizontal="left"/>
    </xf>
    <xf numFmtId="0" fontId="91" fillId="0" borderId="0" xfId="259" applyFont="1" applyAlignment="1">
      <alignment horizontal="center"/>
    </xf>
    <xf numFmtId="0" fontId="12" fillId="0" borderId="35" xfId="162" applyBorder="1" applyAlignment="1">
      <alignment horizontal="center" wrapText="1"/>
    </xf>
    <xf numFmtId="0" fontId="9" fillId="0" borderId="44" xfId="259" applyFont="1" applyBorder="1" applyAlignment="1">
      <alignment horizontal="center" wrapText="1"/>
    </xf>
    <xf numFmtId="0" fontId="15" fillId="0" borderId="0" xfId="162" applyFont="1" applyAlignment="1">
      <alignment wrapText="1"/>
    </xf>
    <xf numFmtId="0" fontId="12" fillId="0" borderId="37" xfId="162" applyBorder="1" applyAlignment="1">
      <alignment horizontal="center"/>
    </xf>
    <xf numFmtId="0" fontId="9" fillId="0" borderId="10" xfId="259" applyFont="1" applyBorder="1" applyAlignment="1">
      <alignment horizontal="center"/>
    </xf>
    <xf numFmtId="0" fontId="134" fillId="0" borderId="0" xfId="162" applyFont="1"/>
    <xf numFmtId="3" fontId="24" fillId="0" borderId="40" xfId="207" applyNumberFormat="1" applyFont="1" applyBorder="1" applyAlignment="1">
      <alignment horizontal="center" wrapText="1"/>
    </xf>
    <xf numFmtId="3" fontId="24" fillId="0" borderId="45" xfId="207" applyNumberFormat="1" applyFont="1" applyBorder="1" applyAlignment="1">
      <alignment wrapText="1"/>
    </xf>
    <xf numFmtId="173" fontId="8" fillId="26" borderId="0" xfId="107" applyNumberFormat="1" applyFont="1" applyFill="1" applyAlignment="1" applyProtection="1">
      <protection locked="0"/>
    </xf>
    <xf numFmtId="41" fontId="12" fillId="0" borderId="10" xfId="259" applyNumberFormat="1" applyBorder="1"/>
    <xf numFmtId="0" fontId="12" fillId="0" borderId="40" xfId="162" applyBorder="1" applyAlignment="1">
      <alignment horizontal="center"/>
    </xf>
    <xf numFmtId="3" fontId="24" fillId="0" borderId="45" xfId="207" applyNumberFormat="1" applyFont="1" applyBorder="1" applyAlignment="1">
      <alignment horizontal="center" wrapText="1"/>
    </xf>
    <xf numFmtId="173" fontId="8" fillId="30" borderId="0" xfId="88" applyNumberFormat="1" applyFont="1" applyFill="1" applyBorder="1" applyProtection="1">
      <protection locked="0"/>
    </xf>
    <xf numFmtId="0" fontId="12" fillId="0" borderId="16" xfId="162" applyBorder="1" applyAlignment="1">
      <alignment horizontal="center"/>
    </xf>
    <xf numFmtId="0" fontId="15" fillId="0" borderId="0" xfId="259" applyFont="1"/>
    <xf numFmtId="37" fontId="15" fillId="0" borderId="0" xfId="259" applyNumberFormat="1" applyFont="1"/>
    <xf numFmtId="172" fontId="15" fillId="0" borderId="0" xfId="252" applyFont="1"/>
    <xf numFmtId="0" fontId="12" fillId="0" borderId="0" xfId="249" applyAlignment="1">
      <alignment vertical="top"/>
    </xf>
    <xf numFmtId="0" fontId="12" fillId="0" borderId="0" xfId="162" applyAlignment="1">
      <alignment vertical="top" wrapText="1"/>
    </xf>
    <xf numFmtId="0" fontId="134" fillId="0" borderId="0" xfId="162" applyFont="1" applyAlignment="1">
      <alignment horizontal="center"/>
    </xf>
    <xf numFmtId="0" fontId="90" fillId="0" borderId="0" xfId="250" applyFont="1"/>
    <xf numFmtId="0" fontId="91" fillId="0" borderId="0" xfId="162" applyFont="1" applyAlignment="1">
      <alignment horizontal="center"/>
    </xf>
    <xf numFmtId="0" fontId="91" fillId="0" borderId="0" xfId="162" quotePrefix="1" applyFont="1" applyAlignment="1">
      <alignment horizontal="center"/>
    </xf>
    <xf numFmtId="0" fontId="9" fillId="0" borderId="0" xfId="250" applyFont="1" applyAlignment="1">
      <alignment horizontal="left"/>
    </xf>
    <xf numFmtId="173" fontId="12" fillId="0" borderId="0" xfId="88" applyNumberFormat="1" applyFont="1" applyFill="1" applyProtection="1"/>
    <xf numFmtId="0" fontId="12" fillId="0" borderId="0" xfId="250"/>
    <xf numFmtId="0" fontId="12" fillId="0" borderId="0" xfId="181"/>
    <xf numFmtId="0" fontId="12" fillId="0" borderId="0" xfId="250" applyAlignment="1">
      <alignment horizontal="left"/>
    </xf>
    <xf numFmtId="173" fontId="8" fillId="30" borderId="0" xfId="88" applyNumberFormat="1" applyFont="1" applyFill="1" applyProtection="1">
      <protection locked="0"/>
    </xf>
    <xf numFmtId="10" fontId="12" fillId="0" borderId="0" xfId="268" applyNumberFormat="1" applyFont="1" applyFill="1" applyBorder="1" applyProtection="1"/>
    <xf numFmtId="173" fontId="8" fillId="26" borderId="6" xfId="88" applyNumberFormat="1" applyFont="1" applyFill="1" applyBorder="1" applyAlignment="1" applyProtection="1">
      <protection locked="0"/>
    </xf>
    <xf numFmtId="10" fontId="9" fillId="0" borderId="0" xfId="268" applyNumberFormat="1" applyFont="1" applyFill="1" applyBorder="1" applyProtection="1"/>
    <xf numFmtId="0" fontId="9" fillId="0" borderId="0" xfId="250" applyFont="1"/>
    <xf numFmtId="173" fontId="9" fillId="0" borderId="0" xfId="268" applyNumberFormat="1" applyFont="1" applyFill="1" applyBorder="1" applyProtection="1"/>
    <xf numFmtId="173" fontId="12" fillId="0" borderId="0" xfId="268" applyNumberFormat="1" applyFont="1" applyFill="1" applyBorder="1" applyProtection="1"/>
    <xf numFmtId="10" fontId="9" fillId="0" borderId="18" xfId="268" applyNumberFormat="1" applyFont="1" applyFill="1" applyBorder="1" applyProtection="1"/>
    <xf numFmtId="0" fontId="100" fillId="0" borderId="0" xfId="181" applyFont="1" applyAlignment="1">
      <alignment horizontal="center"/>
    </xf>
    <xf numFmtId="0" fontId="12" fillId="0" borderId="0" xfId="255" applyNumberFormat="1" applyFont="1" applyAlignment="1" applyProtection="1">
      <alignment horizontal="center" vertical="center"/>
    </xf>
    <xf numFmtId="0" fontId="135" fillId="0" borderId="0" xfId="181" applyFont="1"/>
    <xf numFmtId="0" fontId="12" fillId="0" borderId="0" xfId="255" applyNumberFormat="1" applyFont="1" applyAlignment="1" applyProtection="1">
      <alignment horizontal="center" vertical="top"/>
    </xf>
    <xf numFmtId="0" fontId="63" fillId="0" borderId="0" xfId="181" applyFont="1" applyAlignment="1">
      <alignment vertical="top" wrapText="1"/>
    </xf>
    <xf numFmtId="0" fontId="9" fillId="0" borderId="0" xfId="255" applyNumberFormat="1" applyFont="1" applyAlignment="1" applyProtection="1">
      <alignment horizontal="center" vertical="center"/>
    </xf>
    <xf numFmtId="0" fontId="22" fillId="0" borderId="0" xfId="181" applyFont="1"/>
    <xf numFmtId="41" fontId="9" fillId="0" borderId="0" xfId="250" applyNumberFormat="1" applyFont="1" applyAlignment="1">
      <alignment horizontal="center" wrapText="1"/>
    </xf>
    <xf numFmtId="0" fontId="9" fillId="0" borderId="0" xfId="250" applyFont="1" applyAlignment="1">
      <alignment horizontal="center" wrapText="1"/>
    </xf>
    <xf numFmtId="0" fontId="8" fillId="26" borderId="0" xfId="250" applyFont="1" applyFill="1" applyProtection="1">
      <protection locked="0"/>
    </xf>
    <xf numFmtId="173" fontId="136" fillId="26" borderId="0" xfId="88" applyNumberFormat="1" applyFont="1" applyFill="1" applyProtection="1">
      <protection locked="0"/>
    </xf>
    <xf numFmtId="197" fontId="12" fillId="0" borderId="0" xfId="257" applyNumberFormat="1" applyAlignment="1" applyProtection="1">
      <alignment horizontal="center"/>
      <protection locked="0"/>
    </xf>
    <xf numFmtId="37" fontId="8" fillId="26" borderId="0" xfId="250" applyNumberFormat="1" applyFont="1" applyFill="1" applyProtection="1">
      <protection locked="0"/>
    </xf>
    <xf numFmtId="0" fontId="136" fillId="26" borderId="0" xfId="250" applyFont="1" applyFill="1" applyProtection="1">
      <protection locked="0"/>
    </xf>
    <xf numFmtId="198" fontId="12" fillId="0" borderId="0" xfId="257" applyNumberFormat="1" applyAlignment="1" applyProtection="1">
      <alignment horizontal="center"/>
      <protection locked="0"/>
    </xf>
    <xf numFmtId="14" fontId="12" fillId="0" borderId="0" xfId="257" applyNumberFormat="1" applyAlignment="1" applyProtection="1">
      <alignment horizontal="center"/>
      <protection locked="0"/>
    </xf>
    <xf numFmtId="0" fontId="12" fillId="0" borderId="11" xfId="181" applyBorder="1"/>
    <xf numFmtId="0" fontId="15" fillId="0" borderId="11" xfId="250" applyFont="1" applyBorder="1"/>
    <xf numFmtId="0" fontId="9" fillId="0" borderId="2" xfId="250" applyFont="1" applyBorder="1" applyAlignment="1">
      <alignment horizontal="left"/>
    </xf>
    <xf numFmtId="173" fontId="12" fillId="0" borderId="2" xfId="268" applyNumberFormat="1" applyFont="1" applyFill="1" applyBorder="1" applyProtection="1"/>
    <xf numFmtId="173" fontId="9" fillId="0" borderId="0" xfId="88" applyNumberFormat="1" applyFont="1" applyFill="1" applyBorder="1" applyProtection="1"/>
    <xf numFmtId="0" fontId="90" fillId="0" borderId="0" xfId="250" applyFont="1" applyAlignment="1">
      <alignment horizontal="left"/>
    </xf>
    <xf numFmtId="0" fontId="12" fillId="0" borderId="0" xfId="255" applyNumberFormat="1" applyFont="1" applyAlignment="1" applyProtection="1">
      <alignment horizontal="center" wrapText="1"/>
    </xf>
    <xf numFmtId="173" fontId="15" fillId="0" borderId="0" xfId="162" applyNumberFormat="1" applyFont="1"/>
    <xf numFmtId="0" fontId="15" fillId="0" borderId="2" xfId="162" applyFont="1" applyBorder="1"/>
    <xf numFmtId="188" fontId="5" fillId="0" borderId="0" xfId="255" applyNumberFormat="1" applyFont="1" applyAlignment="1" applyProtection="1">
      <alignment horizontal="center"/>
    </xf>
    <xf numFmtId="41" fontId="5" fillId="0" borderId="11" xfId="255" applyNumberFormat="1" applyFont="1" applyBorder="1" applyProtection="1"/>
    <xf numFmtId="0" fontId="5" fillId="0" borderId="0" xfId="162" applyFont="1" applyAlignment="1">
      <alignment horizontal="center"/>
    </xf>
    <xf numFmtId="0" fontId="63" fillId="0" borderId="0" xfId="162" applyFont="1"/>
    <xf numFmtId="0" fontId="5" fillId="0" borderId="0" xfId="162" applyFont="1"/>
    <xf numFmtId="173" fontId="5" fillId="32" borderId="0" xfId="86" applyNumberFormat="1" applyFont="1" applyFill="1" applyAlignment="1" applyProtection="1">
      <alignment horizontal="right"/>
    </xf>
    <xf numFmtId="179" fontId="5" fillId="0" borderId="0" xfId="255" applyNumberFormat="1" applyFont="1" applyAlignment="1" applyProtection="1">
      <alignment horizontal="center"/>
    </xf>
    <xf numFmtId="0" fontId="12" fillId="0" borderId="0" xfId="0" applyFont="1" applyAlignment="1">
      <alignment horizontal="left"/>
    </xf>
    <xf numFmtId="0" fontId="13" fillId="0" borderId="0" xfId="0" applyFont="1" applyAlignment="1">
      <alignment horizontal="left"/>
    </xf>
    <xf numFmtId="0" fontId="9" fillId="0" borderId="0" xfId="261" applyFont="1"/>
    <xf numFmtId="0" fontId="12" fillId="0" borderId="0" xfId="261" applyFont="1"/>
    <xf numFmtId="0" fontId="12" fillId="0" borderId="0" xfId="0" applyFont="1" applyAlignment="1">
      <alignment vertical="top"/>
    </xf>
    <xf numFmtId="41" fontId="19" fillId="0" borderId="0" xfId="248" applyNumberFormat="1" applyFont="1" applyProtection="1">
      <protection locked="0"/>
    </xf>
    <xf numFmtId="0" fontId="6" fillId="0" borderId="0" xfId="248" applyFont="1"/>
    <xf numFmtId="0" fontId="73" fillId="0" borderId="0" xfId="256" applyFont="1" applyAlignment="1">
      <alignment wrapText="1"/>
    </xf>
    <xf numFmtId="0" fontId="6" fillId="0" borderId="0" xfId="249" applyFont="1" applyAlignment="1">
      <alignment horizontal="center"/>
    </xf>
    <xf numFmtId="0" fontId="6" fillId="0" borderId="0" xfId="249" quotePrefix="1" applyFont="1" applyAlignment="1">
      <alignment horizontal="center"/>
    </xf>
    <xf numFmtId="0" fontId="6" fillId="0" borderId="0" xfId="249" applyFont="1" applyAlignment="1">
      <alignment horizontal="left" vertical="center" wrapText="1"/>
    </xf>
    <xf numFmtId="0" fontId="6" fillId="0" borderId="0" xfId="249" applyFont="1" applyAlignment="1">
      <alignment horizontal="center" vertical="center" wrapText="1"/>
    </xf>
    <xf numFmtId="0" fontId="6" fillId="0" borderId="0" xfId="249" quotePrefix="1" applyFont="1" applyAlignment="1">
      <alignment horizontal="center" vertical="center" wrapText="1"/>
    </xf>
    <xf numFmtId="0" fontId="12" fillId="0" borderId="0" xfId="251" applyAlignment="1">
      <alignment horizontal="left"/>
    </xf>
    <xf numFmtId="0" fontId="138" fillId="0" borderId="0" xfId="0" applyFont="1" applyAlignment="1">
      <alignment vertical="center"/>
    </xf>
    <xf numFmtId="0" fontId="139" fillId="0" borderId="0" xfId="207" applyFont="1"/>
    <xf numFmtId="0" fontId="140" fillId="0" borderId="0" xfId="207" applyFont="1" applyAlignment="1">
      <alignment horizontal="center"/>
    </xf>
    <xf numFmtId="3" fontId="141" fillId="0" borderId="0" xfId="207" applyNumberFormat="1" applyFont="1" applyAlignment="1">
      <alignment horizontal="center"/>
    </xf>
    <xf numFmtId="0" fontId="139" fillId="0" borderId="0" xfId="0" applyFont="1"/>
    <xf numFmtId="0" fontId="142" fillId="0" borderId="0" xfId="207" applyFont="1"/>
    <xf numFmtId="0" fontId="141" fillId="0" borderId="0" xfId="207" applyFont="1" applyAlignment="1">
      <alignment horizontal="center"/>
    </xf>
    <xf numFmtId="0" fontId="140" fillId="0" borderId="0" xfId="206" applyFont="1"/>
    <xf numFmtId="0" fontId="140" fillId="0" borderId="0" xfId="207" applyFont="1"/>
    <xf numFmtId="0" fontId="143" fillId="0" borderId="0" xfId="207" applyFont="1" applyAlignment="1">
      <alignment horizontal="left"/>
    </xf>
    <xf numFmtId="0" fontId="143" fillId="0" borderId="0" xfId="207" applyFont="1"/>
    <xf numFmtId="3" fontId="140" fillId="0" borderId="0" xfId="207" applyNumberFormat="1" applyFont="1"/>
    <xf numFmtId="1" fontId="144" fillId="0" borderId="0" xfId="207" applyNumberFormat="1" applyFont="1" applyAlignment="1">
      <alignment horizontal="center"/>
    </xf>
    <xf numFmtId="172" fontId="140" fillId="0" borderId="0" xfId="254" applyFont="1" applyProtection="1"/>
    <xf numFmtId="170" fontId="144" fillId="30" borderId="0" xfId="254" applyNumberFormat="1" applyFont="1" applyFill="1" applyAlignment="1" applyProtection="1">
      <alignment horizontal="right"/>
      <protection locked="0"/>
    </xf>
    <xf numFmtId="6" fontId="139" fillId="0" borderId="0" xfId="207" applyNumberFormat="1" applyFont="1"/>
    <xf numFmtId="170" fontId="140" fillId="0" borderId="0" xfId="254" applyNumberFormat="1" applyFont="1" applyAlignment="1" applyProtection="1">
      <alignment horizontal="right"/>
    </xf>
    <xf numFmtId="171" fontId="140" fillId="0" borderId="0" xfId="254" applyNumberFormat="1" applyFont="1" applyProtection="1"/>
    <xf numFmtId="0" fontId="145" fillId="0" borderId="0" xfId="207" applyFont="1"/>
    <xf numFmtId="170" fontId="140" fillId="0" borderId="0" xfId="254" applyNumberFormat="1" applyFont="1" applyProtection="1"/>
    <xf numFmtId="0" fontId="140" fillId="0" borderId="0" xfId="0" applyFont="1"/>
    <xf numFmtId="0" fontId="140" fillId="0" borderId="6" xfId="207" applyFont="1" applyBorder="1" applyAlignment="1">
      <alignment horizontal="center"/>
    </xf>
    <xf numFmtId="0" fontId="140" fillId="0" borderId="6" xfId="0" applyFont="1" applyBorder="1"/>
    <xf numFmtId="172" fontId="140" fillId="0" borderId="6" xfId="254" applyFont="1" applyBorder="1" applyProtection="1"/>
    <xf numFmtId="170" fontId="140" fillId="0" borderId="0" xfId="0" applyNumberFormat="1" applyFont="1"/>
    <xf numFmtId="170" fontId="140" fillId="0" borderId="0" xfId="207" applyNumberFormat="1" applyFont="1"/>
    <xf numFmtId="0" fontId="5" fillId="0" borderId="0" xfId="255" applyNumberFormat="1" applyFont="1" applyAlignment="1" applyProtection="1">
      <alignment horizontal="left" indent="2"/>
    </xf>
    <xf numFmtId="173" fontId="8" fillId="30" borderId="0" xfId="108" applyNumberFormat="1" applyFont="1" applyFill="1" applyAlignment="1" applyProtection="1">
      <protection locked="0"/>
    </xf>
    <xf numFmtId="173" fontId="8" fillId="30" borderId="37" xfId="108" applyNumberFormat="1" applyFont="1" applyFill="1" applyBorder="1" applyAlignment="1" applyProtection="1">
      <protection locked="0"/>
    </xf>
    <xf numFmtId="173" fontId="8" fillId="30" borderId="0" xfId="107" applyNumberFormat="1" applyFont="1" applyFill="1" applyAlignment="1" applyProtection="1">
      <protection locked="0"/>
    </xf>
    <xf numFmtId="0" fontId="63" fillId="30" borderId="0" xfId="0" quotePrefix="1" applyFont="1" applyFill="1" applyProtection="1">
      <protection locked="0"/>
    </xf>
    <xf numFmtId="0" fontId="5" fillId="30" borderId="0" xfId="0" applyFont="1" applyFill="1" applyAlignment="1" applyProtection="1">
      <alignment horizontal="center"/>
      <protection locked="0"/>
    </xf>
    <xf numFmtId="9" fontId="78" fillId="30" borderId="11" xfId="267" applyFont="1" applyFill="1" applyBorder="1" applyProtection="1">
      <protection locked="0"/>
    </xf>
    <xf numFmtId="0" fontId="12" fillId="33" borderId="30" xfId="0" applyFont="1" applyFill="1" applyBorder="1" applyAlignment="1">
      <alignment horizontal="center"/>
    </xf>
    <xf numFmtId="173" fontId="152" fillId="30" borderId="20" xfId="88" applyNumberFormat="1" applyFont="1" applyFill="1" applyBorder="1" applyAlignment="1" applyProtection="1">
      <alignment horizontal="right"/>
      <protection locked="0"/>
    </xf>
    <xf numFmtId="0" fontId="8" fillId="30" borderId="20" xfId="162" applyFont="1" applyFill="1" applyBorder="1" applyAlignment="1" applyProtection="1">
      <alignment horizontal="right"/>
      <protection locked="0"/>
    </xf>
    <xf numFmtId="173" fontId="8" fillId="30" borderId="20" xfId="88" applyNumberFormat="1" applyFont="1" applyFill="1" applyBorder="1" applyAlignment="1" applyProtection="1">
      <alignment horizontal="right"/>
      <protection locked="0"/>
    </xf>
    <xf numFmtId="0" fontId="122" fillId="0" borderId="0" xfId="0" applyFont="1" applyAlignment="1">
      <alignment horizontal="left" wrapText="1"/>
    </xf>
    <xf numFmtId="0" fontId="122" fillId="0" borderId="0" xfId="0" applyFont="1" applyAlignment="1">
      <alignment wrapText="1"/>
    </xf>
    <xf numFmtId="0" fontId="3" fillId="0" borderId="0" xfId="258" applyAlignment="1">
      <alignment horizontal="left"/>
    </xf>
    <xf numFmtId="194" fontId="3" fillId="0" borderId="0" xfId="258" applyNumberFormat="1"/>
    <xf numFmtId="192" fontId="3" fillId="0" borderId="0" xfId="258" applyNumberFormat="1"/>
    <xf numFmtId="0" fontId="3" fillId="0" borderId="0" xfId="258" applyAlignment="1">
      <alignment wrapText="1"/>
    </xf>
    <xf numFmtId="0" fontId="106" fillId="0" borderId="35" xfId="258" applyFont="1" applyBorder="1"/>
    <xf numFmtId="0" fontId="82" fillId="0" borderId="2" xfId="258" applyFont="1" applyBorder="1" applyAlignment="1">
      <alignment horizontal="center"/>
    </xf>
    <xf numFmtId="0" fontId="82" fillId="0" borderId="36" xfId="258" applyFont="1" applyBorder="1" applyAlignment="1">
      <alignment horizontal="center"/>
    </xf>
    <xf numFmtId="0" fontId="3" fillId="0" borderId="37" xfId="258" applyBorder="1"/>
    <xf numFmtId="3" fontId="3" fillId="0" borderId="0" xfId="258" applyNumberFormat="1"/>
    <xf numFmtId="3" fontId="3" fillId="0" borderId="38" xfId="258" applyNumberFormat="1" applyBorder="1"/>
    <xf numFmtId="0" fontId="5" fillId="0" borderId="37" xfId="258" applyFont="1" applyBorder="1"/>
    <xf numFmtId="0" fontId="3" fillId="0" borderId="40" xfId="258" applyBorder="1"/>
    <xf numFmtId="10" fontId="3" fillId="0" borderId="0" xfId="267" applyNumberFormat="1" applyFont="1" applyBorder="1" applyAlignment="1" applyProtection="1">
      <alignment horizontal="center"/>
    </xf>
    <xf numFmtId="0" fontId="12" fillId="32" borderId="30" xfId="0" applyFont="1" applyFill="1" applyBorder="1" applyAlignment="1">
      <alignment horizontal="center"/>
    </xf>
    <xf numFmtId="174" fontId="152" fillId="30" borderId="30" xfId="0" applyNumberFormat="1" applyFont="1" applyFill="1" applyBorder="1" applyProtection="1">
      <protection locked="0"/>
    </xf>
    <xf numFmtId="174" fontId="152" fillId="30" borderId="29" xfId="0" applyNumberFormat="1" applyFont="1" applyFill="1" applyBorder="1" applyProtection="1">
      <protection locked="0"/>
    </xf>
    <xf numFmtId="0" fontId="152" fillId="30" borderId="20" xfId="86" applyNumberFormat="1" applyFont="1" applyFill="1" applyBorder="1" applyAlignment="1" applyProtection="1">
      <alignment horizontal="right"/>
      <protection locked="0"/>
    </xf>
    <xf numFmtId="41" fontId="8" fillId="30" borderId="0" xfId="248" applyNumberFormat="1" applyFont="1" applyFill="1" applyProtection="1">
      <protection locked="0"/>
    </xf>
    <xf numFmtId="10" fontId="5" fillId="0" borderId="0" xfId="268" applyNumberFormat="1" applyFont="1" applyFill="1" applyAlignment="1" applyProtection="1"/>
    <xf numFmtId="3" fontId="19" fillId="32" borderId="0" xfId="86" applyNumberFormat="1" applyFont="1" applyFill="1" applyAlignment="1" applyProtection="1"/>
    <xf numFmtId="171" fontId="140" fillId="33" borderId="0" xfId="254" applyNumberFormat="1" applyFont="1" applyFill="1" applyProtection="1">
      <protection locked="0"/>
    </xf>
    <xf numFmtId="173" fontId="12" fillId="0" borderId="0" xfId="88" applyNumberFormat="1" applyProtection="1"/>
    <xf numFmtId="173" fontId="12" fillId="0" borderId="0" xfId="88" applyNumberFormat="1" applyFill="1" applyProtection="1"/>
    <xf numFmtId="3" fontId="8" fillId="30" borderId="0" xfId="0" applyNumberFormat="1" applyFont="1" applyFill="1" applyProtection="1">
      <protection locked="0"/>
    </xf>
    <xf numFmtId="173" fontId="8" fillId="0" borderId="0" xfId="112" applyNumberFormat="1" applyFont="1" applyFill="1" applyProtection="1">
      <protection locked="0"/>
    </xf>
    <xf numFmtId="0" fontId="24" fillId="0" borderId="0" xfId="210" applyFont="1"/>
    <xf numFmtId="0" fontId="24" fillId="0" borderId="0" xfId="210" applyFont="1" applyAlignment="1">
      <alignment horizontal="center"/>
    </xf>
    <xf numFmtId="14" fontId="24" fillId="0" borderId="0" xfId="210" applyNumberFormat="1" applyFont="1"/>
    <xf numFmtId="0" fontId="24" fillId="0" borderId="0" xfId="162" applyFont="1"/>
    <xf numFmtId="9" fontId="24" fillId="0" borderId="0" xfId="267" applyFont="1"/>
    <xf numFmtId="41" fontId="24" fillId="0" borderId="0" xfId="210" applyNumberFormat="1" applyFont="1"/>
    <xf numFmtId="10" fontId="24" fillId="0" borderId="0" xfId="269" applyNumberFormat="1" applyFont="1"/>
    <xf numFmtId="0" fontId="24" fillId="0" borderId="0" xfId="0" applyFont="1"/>
    <xf numFmtId="0" fontId="24" fillId="0" borderId="11" xfId="210" applyFont="1" applyBorder="1"/>
    <xf numFmtId="0" fontId="25" fillId="0" borderId="11" xfId="210" applyFont="1" applyBorder="1" applyAlignment="1">
      <alignment horizontal="center"/>
    </xf>
    <xf numFmtId="0" fontId="25" fillId="0" borderId="11" xfId="210" applyFont="1" applyBorder="1" applyAlignment="1">
      <alignment horizontal="center" wrapText="1"/>
    </xf>
    <xf numFmtId="0" fontId="25" fillId="0" borderId="13" xfId="210" applyFont="1" applyBorder="1" applyAlignment="1">
      <alignment horizontal="center" wrapText="1"/>
    </xf>
    <xf numFmtId="0" fontId="25" fillId="0" borderId="0" xfId="210" applyFont="1" applyAlignment="1">
      <alignment horizontal="center"/>
    </xf>
    <xf numFmtId="0" fontId="25" fillId="0" borderId="0" xfId="210" applyFont="1" applyAlignment="1">
      <alignment horizontal="center" wrapText="1"/>
    </xf>
    <xf numFmtId="0" fontId="25" fillId="0" borderId="0" xfId="210" applyFont="1" applyAlignment="1">
      <alignment horizontal="left"/>
    </xf>
    <xf numFmtId="0" fontId="24" fillId="35" borderId="0" xfId="210" applyFont="1" applyFill="1"/>
    <xf numFmtId="49" fontId="24" fillId="0" borderId="0" xfId="210" applyNumberFormat="1" applyFont="1" applyAlignment="1">
      <alignment horizontal="center"/>
    </xf>
    <xf numFmtId="41" fontId="24" fillId="30" borderId="12" xfId="249" applyNumberFormat="1" applyFont="1" applyFill="1" applyBorder="1" applyProtection="1">
      <protection locked="0"/>
    </xf>
    <xf numFmtId="173" fontId="24" fillId="36" borderId="12" xfId="111" applyNumberFormat="1" applyFont="1" applyFill="1" applyBorder="1"/>
    <xf numFmtId="173" fontId="24" fillId="0" borderId="46" xfId="111" applyNumberFormat="1" applyFont="1" applyFill="1" applyBorder="1"/>
    <xf numFmtId="173" fontId="24" fillId="0" borderId="12" xfId="111" applyNumberFormat="1" applyFont="1" applyFill="1" applyBorder="1"/>
    <xf numFmtId="41" fontId="24" fillId="30" borderId="0" xfId="249" applyNumberFormat="1" applyFont="1" applyFill="1" applyProtection="1">
      <protection locked="0"/>
    </xf>
    <xf numFmtId="41" fontId="24" fillId="0" borderId="0" xfId="210" applyNumberFormat="1" applyFont="1" applyAlignment="1">
      <alignment horizontal="center"/>
    </xf>
    <xf numFmtId="0" fontId="25" fillId="0" borderId="0" xfId="210" applyFont="1"/>
    <xf numFmtId="173" fontId="24" fillId="36" borderId="46" xfId="111" applyNumberFormat="1" applyFont="1" applyFill="1" applyBorder="1"/>
    <xf numFmtId="41" fontId="24" fillId="0" borderId="12" xfId="162" applyNumberFormat="1" applyFont="1" applyBorder="1"/>
    <xf numFmtId="41" fontId="24" fillId="30" borderId="37" xfId="249" applyNumberFormat="1" applyFont="1" applyFill="1" applyBorder="1" applyAlignment="1" applyProtection="1">
      <alignment vertical="center" wrapText="1"/>
      <protection locked="0"/>
    </xf>
    <xf numFmtId="173" fontId="24" fillId="0" borderId="0" xfId="86" applyNumberFormat="1" applyFont="1" applyBorder="1" applyAlignment="1">
      <alignment horizontal="center"/>
    </xf>
    <xf numFmtId="41" fontId="24" fillId="30" borderId="37" xfId="249" applyNumberFormat="1" applyFont="1" applyFill="1" applyBorder="1" applyAlignment="1" applyProtection="1">
      <alignment vertical="top"/>
      <protection locked="0"/>
    </xf>
    <xf numFmtId="0" fontId="24" fillId="0" borderId="0" xfId="210" applyFont="1" applyAlignment="1">
      <alignment wrapText="1"/>
    </xf>
    <xf numFmtId="173" fontId="24" fillId="36" borderId="0" xfId="111" applyNumberFormat="1" applyFont="1" applyFill="1" applyBorder="1"/>
    <xf numFmtId="41" fontId="24" fillId="30" borderId="47" xfId="249" applyNumberFormat="1" applyFont="1" applyFill="1" applyBorder="1" applyProtection="1">
      <protection locked="0"/>
    </xf>
    <xf numFmtId="173" fontId="24" fillId="0" borderId="0" xfId="111" applyNumberFormat="1" applyFont="1" applyFill="1" applyBorder="1"/>
    <xf numFmtId="173" fontId="24" fillId="0" borderId="0" xfId="111" applyNumberFormat="1" applyFont="1" applyBorder="1" applyAlignment="1">
      <alignment wrapText="1"/>
    </xf>
    <xf numFmtId="0" fontId="24" fillId="0" borderId="0" xfId="210" applyFont="1" applyAlignment="1">
      <alignment horizontal="left"/>
    </xf>
    <xf numFmtId="1" fontId="24" fillId="0" borderId="14" xfId="86" applyNumberFormat="1" applyFont="1" applyBorder="1" applyAlignment="1"/>
    <xf numFmtId="173" fontId="24" fillId="0" borderId="14" xfId="86" applyNumberFormat="1" applyFont="1" applyBorder="1" applyAlignment="1"/>
    <xf numFmtId="177" fontId="24" fillId="0" borderId="14" xfId="86" applyNumberFormat="1" applyFont="1" applyBorder="1" applyAlignment="1"/>
    <xf numFmtId="173" fontId="24" fillId="0" borderId="0" xfId="111" applyNumberFormat="1" applyFont="1" applyAlignment="1">
      <alignment wrapText="1"/>
    </xf>
    <xf numFmtId="1" fontId="24" fillId="0" borderId="0" xfId="86" applyNumberFormat="1" applyFont="1" applyBorder="1" applyAlignment="1"/>
    <xf numFmtId="177" fontId="24" fillId="0" borderId="0" xfId="86" applyNumberFormat="1" applyFont="1" applyBorder="1" applyAlignment="1"/>
    <xf numFmtId="173" fontId="24" fillId="0" borderId="1" xfId="86" applyNumberFormat="1" applyFont="1" applyBorder="1" applyAlignment="1">
      <alignment horizontal="center"/>
    </xf>
    <xf numFmtId="173" fontId="24" fillId="0" borderId="0" xfId="86" applyNumberFormat="1" applyFont="1" applyBorder="1" applyAlignment="1"/>
    <xf numFmtId="0" fontId="24" fillId="0" borderId="0" xfId="210" applyFont="1" applyAlignment="1">
      <alignment horizontal="left" vertical="center"/>
    </xf>
    <xf numFmtId="0" fontId="24" fillId="0" borderId="0" xfId="210" applyFont="1" applyAlignment="1">
      <alignment vertical="top" wrapText="1"/>
    </xf>
    <xf numFmtId="173" fontId="24" fillId="0" borderId="0" xfId="210" applyNumberFormat="1" applyFont="1"/>
    <xf numFmtId="0" fontId="24" fillId="0" borderId="0" xfId="210" applyFont="1" applyAlignment="1">
      <alignment vertical="top"/>
    </xf>
    <xf numFmtId="0" fontId="25" fillId="0" borderId="0" xfId="210" applyFont="1" applyAlignment="1">
      <alignment horizontal="left" vertical="center"/>
    </xf>
    <xf numFmtId="173" fontId="24" fillId="0" borderId="0" xfId="210" applyNumberFormat="1" applyFont="1" applyAlignment="1">
      <alignment horizontal="left" vertical="center"/>
    </xf>
    <xf numFmtId="3" fontId="19" fillId="30" borderId="6" xfId="255" applyNumberFormat="1" applyFont="1" applyFill="1" applyBorder="1" applyProtection="1">
      <protection locked="0"/>
    </xf>
    <xf numFmtId="170" fontId="144" fillId="30" borderId="6" xfId="254" applyNumberFormat="1" applyFont="1" applyFill="1" applyBorder="1" applyAlignment="1" applyProtection="1">
      <alignment horizontal="right"/>
      <protection locked="0"/>
    </xf>
    <xf numFmtId="173" fontId="5" fillId="0" borderId="0" xfId="0" applyNumberFormat="1" applyFont="1"/>
    <xf numFmtId="10" fontId="3" fillId="0" borderId="11" xfId="268" applyNumberFormat="1" applyFont="1" applyBorder="1" applyAlignment="1" applyProtection="1">
      <alignment horizontal="center"/>
    </xf>
    <xf numFmtId="10" fontId="77" fillId="0" borderId="39" xfId="268" applyNumberFormat="1" applyFont="1" applyBorder="1" applyAlignment="1" applyProtection="1">
      <alignment horizontal="center"/>
    </xf>
    <xf numFmtId="0" fontId="2" fillId="0" borderId="0" xfId="210" applyFont="1" applyAlignment="1">
      <alignment horizontal="right"/>
    </xf>
    <xf numFmtId="193" fontId="2" fillId="30" borderId="0" xfId="0" applyNumberFormat="1" applyFont="1" applyFill="1" applyAlignment="1" applyProtection="1">
      <alignment horizontal="left"/>
      <protection locked="0"/>
    </xf>
    <xf numFmtId="193" fontId="2" fillId="30" borderId="0" xfId="0" quotePrefix="1" applyNumberFormat="1" applyFont="1" applyFill="1" applyAlignment="1" applyProtection="1">
      <alignment horizontal="left"/>
      <protection locked="0"/>
    </xf>
    <xf numFmtId="3" fontId="2" fillId="30" borderId="0" xfId="0" quotePrefix="1" applyNumberFormat="1" applyFont="1" applyFill="1" applyProtection="1">
      <protection locked="0"/>
    </xf>
    <xf numFmtId="3" fontId="2" fillId="30" borderId="0" xfId="0" applyNumberFormat="1" applyFont="1" applyFill="1" applyProtection="1">
      <protection locked="0"/>
    </xf>
    <xf numFmtId="0" fontId="2" fillId="0" borderId="0" xfId="207" applyFont="1"/>
    <xf numFmtId="49" fontId="2" fillId="0" borderId="0" xfId="332" applyNumberFormat="1"/>
    <xf numFmtId="0" fontId="2" fillId="0" borderId="0" xfId="332"/>
    <xf numFmtId="0" fontId="5" fillId="0" borderId="0" xfId="332" applyFont="1" applyAlignment="1">
      <alignment horizontal="right"/>
    </xf>
    <xf numFmtId="173" fontId="2" fillId="0" borderId="0" xfId="333" applyNumberFormat="1" applyFont="1"/>
    <xf numFmtId="0" fontId="24" fillId="0" borderId="0" xfId="334" applyFont="1" applyAlignment="1">
      <alignment horizontal="right"/>
    </xf>
    <xf numFmtId="0" fontId="2" fillId="0" borderId="0" xfId="334" applyFont="1" applyAlignment="1">
      <alignment horizontal="right"/>
    </xf>
    <xf numFmtId="0" fontId="2" fillId="0" borderId="0" xfId="335"/>
    <xf numFmtId="41" fontId="9" fillId="0" borderId="0" xfId="336" applyNumberFormat="1" applyFont="1" applyAlignment="1" applyProtection="1">
      <alignment horizontal="center"/>
      <protection locked="0"/>
    </xf>
    <xf numFmtId="2" fontId="2" fillId="0" borderId="0" xfId="332" applyNumberFormat="1" applyAlignment="1">
      <alignment horizontal="center"/>
    </xf>
    <xf numFmtId="0" fontId="2" fillId="0" borderId="0" xfId="332" applyAlignment="1">
      <alignment horizontal="center"/>
    </xf>
    <xf numFmtId="2" fontId="2" fillId="0" borderId="0" xfId="332" applyNumberFormat="1"/>
    <xf numFmtId="0" fontId="2" fillId="0" borderId="0" xfId="332" applyAlignment="1">
      <alignment wrapText="1"/>
    </xf>
    <xf numFmtId="0" fontId="2" fillId="0" borderId="0" xfId="332" applyAlignment="1">
      <alignment horizontal="center" wrapText="1"/>
    </xf>
    <xf numFmtId="1" fontId="2" fillId="0" borderId="0" xfId="332" applyNumberFormat="1" applyAlignment="1">
      <alignment horizontal="center"/>
    </xf>
    <xf numFmtId="49" fontId="2" fillId="0" borderId="0" xfId="333" applyNumberFormat="1" applyFont="1"/>
    <xf numFmtId="173" fontId="2" fillId="0" borderId="11" xfId="333" applyNumberFormat="1" applyFont="1" applyBorder="1"/>
    <xf numFmtId="173" fontId="2" fillId="0" borderId="0" xfId="333" applyNumberFormat="1" applyFont="1" applyFill="1"/>
    <xf numFmtId="10" fontId="2" fillId="0" borderId="0" xfId="337" applyNumberFormat="1" applyFont="1" applyFill="1" applyAlignment="1"/>
    <xf numFmtId="9" fontId="2" fillId="0" borderId="0" xfId="337" applyFont="1"/>
    <xf numFmtId="9" fontId="2" fillId="0" borderId="0" xfId="337" applyFont="1" applyFill="1"/>
    <xf numFmtId="43" fontId="2" fillId="0" borderId="0" xfId="333" applyFont="1" applyFill="1"/>
    <xf numFmtId="10" fontId="2" fillId="0" borderId="0" xfId="337" applyNumberFormat="1" applyFont="1" applyFill="1"/>
    <xf numFmtId="173" fontId="2" fillId="0" borderId="13" xfId="333" applyNumberFormat="1" applyFont="1" applyBorder="1"/>
    <xf numFmtId="173" fontId="2" fillId="0" borderId="0" xfId="333" applyNumberFormat="1" applyFont="1" applyBorder="1"/>
    <xf numFmtId="10" fontId="2" fillId="0" borderId="0" xfId="337" applyNumberFormat="1" applyFont="1"/>
    <xf numFmtId="0" fontId="15" fillId="0" borderId="0" xfId="332" applyFont="1"/>
    <xf numFmtId="0" fontId="15" fillId="0" borderId="0" xfId="332" applyFont="1" applyAlignment="1">
      <alignment vertical="top"/>
    </xf>
    <xf numFmtId="0" fontId="2" fillId="0" borderId="0" xfId="332" applyAlignment="1">
      <alignment vertical="center"/>
    </xf>
    <xf numFmtId="0" fontId="154" fillId="0" borderId="0" xfId="332" applyFont="1" applyAlignment="1">
      <alignment vertical="center"/>
    </xf>
    <xf numFmtId="0" fontId="154" fillId="0" borderId="0" xfId="332" applyFont="1" applyAlignment="1">
      <alignment vertical="center" wrapText="1"/>
    </xf>
    <xf numFmtId="173" fontId="8" fillId="26" borderId="2" xfId="107" applyNumberFormat="1" applyFont="1" applyFill="1" applyBorder="1" applyAlignment="1" applyProtection="1">
      <protection locked="0"/>
    </xf>
    <xf numFmtId="173" fontId="8" fillId="26" borderId="0" xfId="107" applyNumberFormat="1" applyFont="1" applyFill="1" applyBorder="1" applyAlignment="1" applyProtection="1">
      <protection locked="0"/>
    </xf>
    <xf numFmtId="173" fontId="8" fillId="26" borderId="11" xfId="107" applyNumberFormat="1" applyFont="1" applyFill="1" applyBorder="1" applyAlignment="1" applyProtection="1">
      <protection locked="0"/>
    </xf>
    <xf numFmtId="173" fontId="78" fillId="0" borderId="0" xfId="256" applyNumberFormat="1" applyFont="1" applyProtection="1">
      <protection locked="0"/>
    </xf>
    <xf numFmtId="172" fontId="5" fillId="0" borderId="0" xfId="255" applyFont="1" applyAlignment="1" applyProtection="1">
      <alignment horizontal="left" wrapText="1"/>
    </xf>
    <xf numFmtId="0" fontId="2" fillId="0" borderId="0" xfId="338" applyAlignment="1">
      <alignment horizontal="center"/>
    </xf>
    <xf numFmtId="38" fontId="2" fillId="0" borderId="0" xfId="0" applyNumberFormat="1" applyFont="1"/>
    <xf numFmtId="173" fontId="8" fillId="26" borderId="0" xfId="341" applyNumberFormat="1" applyFont="1" applyFill="1" applyBorder="1" applyAlignment="1">
      <alignment horizontal="right"/>
    </xf>
    <xf numFmtId="173" fontId="8" fillId="26" borderId="38" xfId="341" applyNumberFormat="1" applyFont="1" applyFill="1" applyBorder="1" applyAlignment="1">
      <alignment horizontal="right"/>
    </xf>
    <xf numFmtId="173" fontId="2" fillId="0" borderId="14" xfId="341" applyNumberFormat="1" applyFont="1" applyBorder="1"/>
    <xf numFmtId="173" fontId="2" fillId="0" borderId="41" xfId="341" applyNumberFormat="1" applyFont="1" applyBorder="1"/>
    <xf numFmtId="173" fontId="8" fillId="26" borderId="36" xfId="341" applyNumberFormat="1" applyFont="1" applyFill="1" applyBorder="1" applyAlignment="1">
      <alignment horizontal="right"/>
    </xf>
    <xf numFmtId="0" fontId="9" fillId="0" borderId="0" xfId="339" applyFont="1" applyAlignment="1">
      <alignment horizontal="center"/>
    </xf>
    <xf numFmtId="173" fontId="154" fillId="26" borderId="0" xfId="341" applyNumberFormat="1" applyFont="1" applyFill="1" applyBorder="1" applyAlignment="1">
      <alignment horizontal="right"/>
    </xf>
    <xf numFmtId="173" fontId="154" fillId="26" borderId="36" xfId="341" applyNumberFormat="1" applyFont="1" applyFill="1" applyBorder="1" applyAlignment="1">
      <alignment horizontal="right"/>
    </xf>
    <xf numFmtId="173" fontId="154" fillId="26" borderId="38" xfId="341" applyNumberFormat="1" applyFont="1" applyFill="1" applyBorder="1" applyAlignment="1">
      <alignment horizontal="right"/>
    </xf>
    <xf numFmtId="173" fontId="154" fillId="26" borderId="39" xfId="341" applyNumberFormat="1" applyFont="1" applyFill="1" applyBorder="1" applyAlignment="1">
      <alignment horizontal="right"/>
    </xf>
    <xf numFmtId="0" fontId="9" fillId="0" borderId="2" xfId="259" applyFont="1" applyBorder="1" applyAlignment="1">
      <alignment horizontal="center" wrapText="1"/>
    </xf>
    <xf numFmtId="0" fontId="9" fillId="0" borderId="0" xfId="247" applyFont="1" applyAlignment="1">
      <alignment horizontal="center" wrapText="1"/>
    </xf>
    <xf numFmtId="173" fontId="8" fillId="30" borderId="0" xfId="89" applyNumberFormat="1" applyFont="1" applyFill="1" applyBorder="1" applyAlignment="1">
      <alignment horizontal="right"/>
    </xf>
    <xf numFmtId="0" fontId="2" fillId="0" borderId="2" xfId="0" applyFont="1" applyBorder="1"/>
    <xf numFmtId="0" fontId="2" fillId="0" borderId="36" xfId="0" applyFont="1" applyBorder="1"/>
    <xf numFmtId="0" fontId="9" fillId="0" borderId="0" xfId="339" applyFont="1" applyAlignment="1">
      <alignment horizontal="center" wrapText="1"/>
    </xf>
    <xf numFmtId="0" fontId="9" fillId="0" borderId="38" xfId="339" applyFont="1" applyBorder="1" applyAlignment="1">
      <alignment horizontal="center" wrapText="1"/>
    </xf>
    <xf numFmtId="0" fontId="9" fillId="0" borderId="38" xfId="339" applyFont="1" applyBorder="1" applyAlignment="1">
      <alignment horizontal="center"/>
    </xf>
    <xf numFmtId="3" fontId="2" fillId="0" borderId="11" xfId="340" applyNumberFormat="1" applyBorder="1" applyAlignment="1">
      <alignment horizontal="center" wrapText="1"/>
    </xf>
    <xf numFmtId="3" fontId="2" fillId="0" borderId="39" xfId="340" applyNumberFormat="1" applyBorder="1" applyAlignment="1">
      <alignment horizontal="center" wrapText="1"/>
    </xf>
    <xf numFmtId="0" fontId="9" fillId="0" borderId="2" xfId="339" applyFont="1" applyBorder="1" applyAlignment="1">
      <alignment horizontal="center" wrapText="1"/>
    </xf>
    <xf numFmtId="0" fontId="9" fillId="0" borderId="36" xfId="339" applyFont="1" applyBorder="1" applyAlignment="1">
      <alignment horizontal="center" wrapText="1"/>
    </xf>
    <xf numFmtId="3" fontId="24" fillId="0" borderId="11" xfId="340" applyNumberFormat="1" applyFont="1" applyBorder="1" applyAlignment="1">
      <alignment horizontal="center" wrapText="1"/>
    </xf>
    <xf numFmtId="3" fontId="24" fillId="0" borderId="39" xfId="340" applyNumberFormat="1" applyFont="1" applyBorder="1" applyAlignment="1">
      <alignment horizontal="center" wrapText="1"/>
    </xf>
    <xf numFmtId="3" fontId="158" fillId="0" borderId="0" xfId="255" applyNumberFormat="1" applyFont="1" applyProtection="1"/>
    <xf numFmtId="3" fontId="158" fillId="0" borderId="0" xfId="255" applyNumberFormat="1" applyFont="1" applyAlignment="1" applyProtection="1">
      <alignment horizontal="center"/>
    </xf>
    <xf numFmtId="41" fontId="93" fillId="0" borderId="0" xfId="255" applyNumberFormat="1" applyFont="1" applyAlignment="1" applyProtection="1">
      <alignment horizontal="right"/>
    </xf>
    <xf numFmtId="3" fontId="93" fillId="0" borderId="0" xfId="255" applyNumberFormat="1" applyFont="1" applyAlignment="1" applyProtection="1">
      <alignment horizontal="right"/>
    </xf>
    <xf numFmtId="178" fontId="6" fillId="0" borderId="0" xfId="255" applyNumberFormat="1" applyFont="1" applyAlignment="1" applyProtection="1">
      <alignment horizontal="right"/>
    </xf>
    <xf numFmtId="0" fontId="2" fillId="0" borderId="0" xfId="0" applyFont="1" applyAlignment="1">
      <alignment wrapText="1"/>
    </xf>
    <xf numFmtId="166" fontId="6" fillId="0" borderId="0" xfId="255" applyNumberFormat="1" applyFont="1" applyAlignment="1" applyProtection="1">
      <alignment horizontal="right"/>
    </xf>
    <xf numFmtId="184" fontId="5" fillId="0" borderId="0" xfId="255" applyNumberFormat="1" applyFont="1" applyProtection="1"/>
    <xf numFmtId="183" fontId="5" fillId="0" borderId="0" xfId="255" applyNumberFormat="1" applyFont="1" applyProtection="1"/>
    <xf numFmtId="3" fontId="6" fillId="0" borderId="0" xfId="255" applyNumberFormat="1" applyFont="1" applyAlignment="1" applyProtection="1">
      <alignment horizontal="right" vertical="center"/>
    </xf>
    <xf numFmtId="43" fontId="5" fillId="0" borderId="0" xfId="255" applyNumberFormat="1" applyFont="1" applyProtection="1"/>
    <xf numFmtId="173" fontId="5" fillId="0" borderId="6" xfId="86" applyNumberFormat="1" applyFont="1" applyFill="1" applyBorder="1" applyAlignment="1" applyProtection="1"/>
    <xf numFmtId="0" fontId="2" fillId="0" borderId="0" xfId="0" applyFont="1" applyAlignment="1">
      <alignment horizontal="center" wrapText="1"/>
    </xf>
    <xf numFmtId="41" fontId="19" fillId="30" borderId="6" xfId="255" applyNumberFormat="1" applyFont="1" applyFill="1" applyBorder="1" applyAlignment="1" applyProtection="1">
      <alignment vertical="center"/>
      <protection locked="0"/>
    </xf>
    <xf numFmtId="3" fontId="108" fillId="31" borderId="0" xfId="255" applyNumberFormat="1" applyFont="1" applyFill="1" applyAlignment="1" applyProtection="1">
      <alignment horizontal="center"/>
    </xf>
    <xf numFmtId="3" fontId="10" fillId="0" borderId="0" xfId="255" applyNumberFormat="1" applyFont="1" applyAlignment="1" applyProtection="1">
      <alignment horizontal="center"/>
    </xf>
    <xf numFmtId="0" fontId="5" fillId="0" borderId="0" xfId="0" applyFont="1" applyAlignment="1">
      <alignment wrapText="1"/>
    </xf>
    <xf numFmtId="0" fontId="12" fillId="0" borderId="0" xfId="0" applyFont="1" applyAlignment="1">
      <alignment wrapText="1"/>
    </xf>
    <xf numFmtId="0" fontId="5" fillId="32" borderId="0" xfId="255" applyNumberFormat="1" applyFont="1" applyFill="1" applyAlignment="1" applyProtection="1">
      <alignment horizontal="left" vertical="top" wrapText="1"/>
    </xf>
    <xf numFmtId="172" fontId="77" fillId="0" borderId="0" xfId="255" applyFont="1" applyAlignment="1" applyProtection="1">
      <alignment horizontal="left" wrapText="1"/>
    </xf>
    <xf numFmtId="49" fontId="5" fillId="0" borderId="0" xfId="255" applyNumberFormat="1" applyFont="1" applyAlignment="1" applyProtection="1">
      <alignment horizontal="center"/>
    </xf>
    <xf numFmtId="0" fontId="32" fillId="0" borderId="0" xfId="0" applyFont="1" applyAlignment="1">
      <alignment horizontal="center"/>
    </xf>
    <xf numFmtId="0" fontId="10" fillId="0" borderId="0" xfId="255" applyNumberFormat="1" applyFont="1" applyAlignment="1" applyProtection="1">
      <alignment horizontal="center"/>
    </xf>
    <xf numFmtId="0" fontId="13" fillId="0" borderId="0" xfId="0" applyFont="1"/>
    <xf numFmtId="0" fontId="0" fillId="0" borderId="0" xfId="0" applyAlignment="1">
      <alignment horizontal="center"/>
    </xf>
    <xf numFmtId="172" fontId="6" fillId="0" borderId="11" xfId="255" applyFont="1" applyBorder="1" applyAlignment="1" applyProtection="1">
      <alignment horizontal="center"/>
    </xf>
    <xf numFmtId="0" fontId="5" fillId="0" borderId="0" xfId="0" applyFont="1" applyAlignment="1">
      <alignment horizontal="left" vertical="top" wrapText="1"/>
    </xf>
    <xf numFmtId="172" fontId="5" fillId="0" borderId="0" xfId="255" applyFont="1" applyAlignment="1" applyProtection="1">
      <alignment horizontal="left" wrapText="1"/>
    </xf>
    <xf numFmtId="0" fontId="5" fillId="0" borderId="0" xfId="255" applyNumberFormat="1" applyFont="1" applyAlignment="1" applyProtection="1">
      <alignment vertical="top" wrapText="1"/>
    </xf>
    <xf numFmtId="0" fontId="12" fillId="0" borderId="0" xfId="0" applyFont="1"/>
    <xf numFmtId="0" fontId="26" fillId="0" borderId="0" xfId="255" applyNumberFormat="1" applyFont="1" applyAlignment="1" applyProtection="1">
      <alignment horizontal="left" wrapText="1"/>
    </xf>
    <xf numFmtId="172" fontId="5" fillId="0" borderId="0" xfId="255" applyFont="1" applyAlignment="1" applyProtection="1">
      <alignment horizontal="justify" wrapText="1"/>
    </xf>
    <xf numFmtId="0" fontId="12" fillId="0" borderId="0" xfId="0" applyFont="1" applyAlignment="1">
      <alignment horizontal="justify" wrapText="1"/>
    </xf>
    <xf numFmtId="172" fontId="26" fillId="0" borderId="0" xfId="255" applyFont="1" applyAlignment="1" applyProtection="1">
      <alignment vertical="top" wrapText="1"/>
    </xf>
    <xf numFmtId="0" fontId="26" fillId="0" borderId="0" xfId="0" applyFont="1" applyAlignment="1">
      <alignment vertical="top" wrapText="1"/>
    </xf>
    <xf numFmtId="172" fontId="26" fillId="0" borderId="0" xfId="255" applyFont="1" applyAlignment="1" applyProtection="1">
      <alignment wrapText="1"/>
    </xf>
    <xf numFmtId="172" fontId="5" fillId="0" borderId="0" xfId="255" applyFont="1" applyAlignment="1" applyProtection="1">
      <alignment vertical="top" wrapText="1"/>
    </xf>
    <xf numFmtId="172" fontId="107" fillId="0" borderId="0" xfId="255" applyFont="1" applyAlignment="1" applyProtection="1">
      <alignment wrapText="1"/>
    </xf>
    <xf numFmtId="0" fontId="32" fillId="0" borderId="0" xfId="0" applyFont="1" applyAlignment="1">
      <alignment wrapText="1"/>
    </xf>
    <xf numFmtId="0" fontId="5" fillId="0" borderId="0" xfId="255" applyNumberFormat="1" applyFont="1" applyAlignment="1" applyProtection="1">
      <alignment wrapText="1"/>
    </xf>
    <xf numFmtId="0" fontId="2" fillId="0" borderId="0" xfId="259" applyFont="1" applyAlignment="1">
      <alignment horizontal="left" wrapText="1"/>
    </xf>
    <xf numFmtId="0" fontId="5" fillId="0" borderId="0" xfId="0" applyFont="1" applyAlignment="1">
      <alignment horizontal="center"/>
    </xf>
    <xf numFmtId="0" fontId="5" fillId="0" borderId="0" xfId="207" applyFont="1" applyAlignment="1">
      <alignment horizontal="center"/>
    </xf>
    <xf numFmtId="3" fontId="5" fillId="0" borderId="0" xfId="207" applyNumberFormat="1" applyFont="1" applyAlignment="1">
      <alignment horizontal="center"/>
    </xf>
    <xf numFmtId="0" fontId="9" fillId="0" borderId="46" xfId="259" applyFont="1" applyBorder="1" applyAlignment="1">
      <alignment horizontal="center" wrapText="1"/>
    </xf>
    <xf numFmtId="0" fontId="9" fillId="0" borderId="13" xfId="259" applyFont="1" applyBorder="1" applyAlignment="1">
      <alignment horizontal="center" wrapText="1"/>
    </xf>
    <xf numFmtId="0" fontId="9" fillId="0" borderId="47" xfId="259" applyFont="1" applyBorder="1" applyAlignment="1">
      <alignment horizontal="center" wrapText="1"/>
    </xf>
    <xf numFmtId="0" fontId="9" fillId="0" borderId="46" xfId="0" applyFont="1" applyBorder="1" applyAlignment="1">
      <alignment horizontal="center"/>
    </xf>
    <xf numFmtId="0" fontId="9" fillId="0" borderId="13" xfId="0" applyFont="1" applyBorder="1" applyAlignment="1">
      <alignment horizontal="center"/>
    </xf>
    <xf numFmtId="0" fontId="9" fillId="0" borderId="47" xfId="0" applyFont="1" applyBorder="1" applyAlignment="1">
      <alignment horizontal="center"/>
    </xf>
    <xf numFmtId="0" fontId="40" fillId="0" borderId="0" xfId="248" applyFont="1" applyAlignment="1">
      <alignment horizontal="center" wrapText="1"/>
    </xf>
    <xf numFmtId="0" fontId="63" fillId="0" borderId="11" xfId="0" applyFont="1" applyBorder="1" applyAlignment="1">
      <alignment horizontal="center" wrapText="1"/>
    </xf>
    <xf numFmtId="3" fontId="5" fillId="0" borderId="0" xfId="0" applyNumberFormat="1" applyFont="1" applyAlignment="1">
      <alignment horizontal="center"/>
    </xf>
    <xf numFmtId="0" fontId="40" fillId="0" borderId="0" xfId="207" quotePrefix="1" applyFont="1" applyAlignment="1">
      <alignment horizontal="center" wrapText="1"/>
    </xf>
    <xf numFmtId="0" fontId="24" fillId="0" borderId="11" xfId="210" applyFont="1" applyBorder="1" applyAlignment="1">
      <alignment horizontal="center"/>
    </xf>
    <xf numFmtId="0" fontId="24" fillId="0" borderId="11" xfId="0" applyFont="1" applyBorder="1" applyAlignment="1">
      <alignment horizontal="center"/>
    </xf>
    <xf numFmtId="0" fontId="24" fillId="0" borderId="11" xfId="210" applyFont="1" applyBorder="1" applyAlignment="1">
      <alignment horizontal="center" wrapText="1"/>
    </xf>
    <xf numFmtId="0" fontId="25" fillId="0" borderId="2" xfId="210" applyFont="1" applyBorder="1" applyAlignment="1">
      <alignment horizontal="center" wrapText="1"/>
    </xf>
    <xf numFmtId="41" fontId="24" fillId="30" borderId="37" xfId="249" applyNumberFormat="1" applyFont="1" applyFill="1" applyBorder="1" applyAlignment="1" applyProtection="1">
      <alignment horizontal="left" vertical="center" wrapText="1"/>
      <protection locked="0"/>
    </xf>
    <xf numFmtId="0" fontId="24" fillId="0" borderId="0" xfId="210" applyFont="1" applyAlignment="1">
      <alignment horizontal="center" wrapText="1"/>
    </xf>
    <xf numFmtId="0" fontId="24" fillId="0" borderId="0" xfId="210" applyFont="1" applyAlignment="1">
      <alignment horizontal="left" vertical="top" wrapText="1"/>
    </xf>
    <xf numFmtId="2" fontId="2" fillId="0" borderId="0" xfId="332" applyNumberFormat="1" applyAlignment="1">
      <alignment horizontal="left"/>
    </xf>
    <xf numFmtId="41" fontId="9" fillId="0" borderId="0" xfId="336" applyNumberFormat="1" applyFont="1" applyAlignment="1" applyProtection="1">
      <alignment horizontal="center"/>
      <protection locked="0"/>
    </xf>
    <xf numFmtId="0" fontId="2" fillId="0" borderId="0" xfId="332" applyAlignment="1">
      <alignment vertical="center" wrapText="1"/>
    </xf>
    <xf numFmtId="0" fontId="2" fillId="0" borderId="0" xfId="332" applyAlignment="1">
      <alignment horizontal="left" vertical="top" wrapText="1"/>
    </xf>
    <xf numFmtId="0" fontId="2" fillId="0" borderId="0" xfId="332" applyAlignment="1">
      <alignment horizontal="left" wrapText="1"/>
    </xf>
    <xf numFmtId="0" fontId="12" fillId="0" borderId="0" xfId="207" applyAlignment="1">
      <alignment horizontal="left" wrapText="1"/>
    </xf>
    <xf numFmtId="0" fontId="81" fillId="0" borderId="0" xfId="207" applyFont="1" applyAlignment="1">
      <alignment horizontal="center"/>
    </xf>
    <xf numFmtId="0" fontId="81" fillId="0" borderId="0" xfId="248" applyFont="1" applyAlignment="1">
      <alignment horizontal="center"/>
    </xf>
    <xf numFmtId="0" fontId="17" fillId="0" borderId="0" xfId="248" applyFont="1" applyAlignment="1">
      <alignment horizontal="center" wrapText="1"/>
    </xf>
    <xf numFmtId="0" fontId="13" fillId="0" borderId="0" xfId="0" applyFont="1" applyAlignment="1">
      <alignment horizontal="center" wrapText="1"/>
    </xf>
    <xf numFmtId="0" fontId="17" fillId="0" borderId="0" xfId="207" quotePrefix="1" applyFont="1" applyAlignment="1">
      <alignment horizontal="center" wrapText="1"/>
    </xf>
    <xf numFmtId="0" fontId="81" fillId="0" borderId="0" xfId="0" applyFont="1" applyAlignment="1">
      <alignment horizontal="center"/>
    </xf>
    <xf numFmtId="172" fontId="109" fillId="0" borderId="0" xfId="255" applyFont="1" applyAlignment="1" applyProtection="1">
      <alignment wrapText="1"/>
    </xf>
    <xf numFmtId="0" fontId="120" fillId="0" borderId="0" xfId="0" applyFont="1" applyAlignment="1">
      <alignment wrapText="1"/>
    </xf>
    <xf numFmtId="172" fontId="12" fillId="0" borderId="0" xfId="255" applyFont="1" applyAlignment="1" applyProtection="1">
      <alignment horizontal="left" vertical="top" wrapText="1"/>
    </xf>
    <xf numFmtId="0" fontId="94" fillId="0" borderId="0" xfId="260" applyFont="1" applyAlignment="1">
      <alignment wrapText="1"/>
    </xf>
    <xf numFmtId="3" fontId="4" fillId="0" borderId="0" xfId="0" applyNumberFormat="1" applyFont="1" applyAlignment="1">
      <alignment horizontal="center"/>
    </xf>
    <xf numFmtId="0" fontId="10" fillId="0" borderId="0" xfId="260" applyFont="1" applyAlignment="1">
      <alignment horizontal="center"/>
    </xf>
    <xf numFmtId="0" fontId="74" fillId="0" borderId="11" xfId="256" applyFont="1" applyBorder="1" applyAlignment="1">
      <alignment horizontal="center"/>
    </xf>
    <xf numFmtId="0" fontId="71" fillId="0" borderId="0" xfId="256" applyFont="1" applyAlignment="1">
      <alignment horizontal="left" wrapText="1"/>
    </xf>
    <xf numFmtId="0" fontId="0" fillId="0" borderId="0" xfId="0"/>
    <xf numFmtId="0" fontId="71" fillId="0" borderId="0" xfId="256" applyFont="1" applyAlignment="1">
      <alignment wrapText="1"/>
    </xf>
    <xf numFmtId="49" fontId="5" fillId="0" borderId="0" xfId="86" applyNumberFormat="1" applyFont="1" applyAlignment="1">
      <alignment horizontal="center"/>
    </xf>
    <xf numFmtId="0" fontId="4" fillId="0" borderId="0" xfId="207" applyFont="1" applyAlignment="1">
      <alignment horizontal="center"/>
    </xf>
    <xf numFmtId="0" fontId="4" fillId="0" borderId="0" xfId="0" applyFont="1" applyAlignment="1">
      <alignment horizontal="center"/>
    </xf>
    <xf numFmtId="173" fontId="95" fillId="0" borderId="0" xfId="86" applyNumberFormat="1" applyFont="1" applyBorder="1" applyAlignment="1" applyProtection="1">
      <alignment horizontal="center"/>
    </xf>
    <xf numFmtId="0" fontId="155" fillId="30" borderId="0" xfId="0" applyFont="1" applyFill="1" applyAlignment="1" applyProtection="1">
      <alignment horizontal="left" vertical="top" wrapText="1"/>
      <protection locked="0"/>
    </xf>
    <xf numFmtId="0" fontId="12" fillId="32" borderId="0" xfId="0" applyFont="1" applyFill="1" applyAlignment="1">
      <alignment wrapText="1"/>
    </xf>
    <xf numFmtId="0" fontId="0" fillId="32" borderId="0" xfId="0" applyFill="1" applyAlignment="1">
      <alignment wrapText="1"/>
    </xf>
    <xf numFmtId="0" fontId="0" fillId="0" borderId="0" xfId="0" applyAlignment="1">
      <alignment wrapText="1"/>
    </xf>
    <xf numFmtId="0" fontId="0" fillId="0" borderId="0" xfId="0" applyAlignment="1">
      <alignment horizontal="left" vertical="center" wrapText="1"/>
    </xf>
    <xf numFmtId="0" fontId="4" fillId="0" borderId="0" xfId="0" applyFont="1" applyAlignment="1">
      <alignment wrapText="1"/>
    </xf>
    <xf numFmtId="0" fontId="0" fillId="0" borderId="0" xfId="0" applyAlignment="1">
      <alignment horizontal="left" wrapText="1"/>
    </xf>
    <xf numFmtId="172" fontId="2" fillId="0" borderId="23" xfId="255" applyFont="1" applyBorder="1" applyAlignment="1" applyProtection="1">
      <alignment wrapText="1"/>
    </xf>
    <xf numFmtId="0" fontId="2" fillId="0" borderId="17" xfId="0" applyFont="1" applyBorder="1" applyAlignment="1">
      <alignment wrapText="1"/>
    </xf>
    <xf numFmtId="0" fontId="2" fillId="0" borderId="24" xfId="0" applyFont="1" applyBorder="1" applyAlignment="1">
      <alignment wrapText="1"/>
    </xf>
    <xf numFmtId="0" fontId="2" fillId="0" borderId="19" xfId="0" applyFont="1" applyBorder="1" applyAlignment="1">
      <alignment wrapText="1"/>
    </xf>
    <xf numFmtId="0" fontId="2" fillId="0" borderId="0" xfId="0" applyFont="1" applyAlignment="1">
      <alignment wrapText="1"/>
    </xf>
    <xf numFmtId="0" fontId="2" fillId="0" borderId="20" xfId="0" applyFont="1" applyBorder="1" applyAlignment="1">
      <alignment wrapText="1"/>
    </xf>
    <xf numFmtId="0" fontId="77" fillId="0" borderId="0" xfId="0" applyFont="1" applyAlignment="1">
      <alignment horizontal="center"/>
    </xf>
    <xf numFmtId="0" fontId="6" fillId="0" borderId="0" xfId="0" applyFont="1" applyAlignment="1">
      <alignment horizontal="center"/>
    </xf>
    <xf numFmtId="0" fontId="122" fillId="0" borderId="0" xfId="0" applyFont="1" applyAlignment="1">
      <alignment horizontal="left" wrapText="1"/>
    </xf>
    <xf numFmtId="0" fontId="5" fillId="0" borderId="0" xfId="162" applyFont="1" applyAlignment="1">
      <alignment horizontal="center"/>
    </xf>
    <xf numFmtId="0" fontId="9" fillId="0" borderId="46" xfId="162" applyFont="1" applyBorder="1" applyAlignment="1">
      <alignment horizontal="center"/>
    </xf>
    <xf numFmtId="0" fontId="9" fillId="0" borderId="13" xfId="162" applyFont="1" applyBorder="1" applyAlignment="1">
      <alignment horizontal="center"/>
    </xf>
    <xf numFmtId="0" fontId="9" fillId="0" borderId="47" xfId="162" applyFont="1" applyBorder="1" applyAlignment="1">
      <alignment horizontal="center"/>
    </xf>
    <xf numFmtId="0" fontId="12" fillId="0" borderId="0" xfId="250" applyAlignment="1">
      <alignment horizontal="left" wrapText="1"/>
    </xf>
    <xf numFmtId="0" fontId="12" fillId="0" borderId="0" xfId="181" applyAlignment="1">
      <alignment wrapText="1"/>
    </xf>
    <xf numFmtId="0" fontId="112" fillId="0" borderId="0" xfId="250" applyFont="1" applyAlignment="1">
      <alignment horizontal="left" wrapText="1"/>
    </xf>
    <xf numFmtId="0" fontId="63" fillId="0" borderId="0" xfId="162" applyFont="1" applyAlignment="1">
      <alignment horizontal="left" vertical="top" wrapText="1"/>
    </xf>
    <xf numFmtId="41" fontId="9" fillId="0" borderId="0" xfId="250" applyNumberFormat="1" applyFont="1" applyAlignment="1">
      <alignment horizontal="center" wrapText="1"/>
    </xf>
    <xf numFmtId="0" fontId="9" fillId="0" borderId="0" xfId="0" applyFont="1" applyAlignment="1">
      <alignment horizontal="center" wrapText="1"/>
    </xf>
    <xf numFmtId="0" fontId="9" fillId="0" borderId="0" xfId="0" applyFont="1" applyAlignment="1">
      <alignment horizontal="left" wrapText="1"/>
    </xf>
    <xf numFmtId="0" fontId="94" fillId="0" borderId="0" xfId="0" applyFont="1" applyAlignment="1">
      <alignment horizontal="center" wrapText="1"/>
    </xf>
    <xf numFmtId="0" fontId="20" fillId="30" borderId="0" xfId="0" applyFont="1" applyFill="1" applyAlignment="1" applyProtection="1">
      <alignment wrapText="1"/>
      <protection locked="0"/>
    </xf>
    <xf numFmtId="0" fontId="140" fillId="0" borderId="0" xfId="0" applyFont="1" applyAlignment="1">
      <alignment horizontal="left" vertical="center" wrapText="1"/>
    </xf>
    <xf numFmtId="0" fontId="140" fillId="0" borderId="0" xfId="207" applyFont="1" applyAlignment="1">
      <alignment horizontal="center"/>
    </xf>
    <xf numFmtId="3" fontId="140" fillId="0" borderId="0" xfId="207" applyNumberFormat="1" applyFont="1" applyAlignment="1">
      <alignment horizontal="center"/>
    </xf>
    <xf numFmtId="3" fontId="102" fillId="0" borderId="0" xfId="258" applyNumberFormat="1" applyFont="1" applyAlignment="1">
      <alignment horizontal="center"/>
    </xf>
    <xf numFmtId="0" fontId="3" fillId="0" borderId="11" xfId="258" applyBorder="1" applyAlignment="1">
      <alignment wrapText="1"/>
    </xf>
    <xf numFmtId="0" fontId="0" fillId="0" borderId="11" xfId="0" applyBorder="1" applyAlignment="1">
      <alignment wrapText="1"/>
    </xf>
    <xf numFmtId="0" fontId="2" fillId="0" borderId="11" xfId="0" applyFont="1" applyBorder="1" applyAlignment="1">
      <alignment wrapText="1"/>
    </xf>
    <xf numFmtId="0" fontId="102" fillId="0" borderId="0" xfId="258" applyFont="1" applyAlignment="1">
      <alignment horizontal="center"/>
    </xf>
    <xf numFmtId="0" fontId="9" fillId="0" borderId="0" xfId="262" applyFont="1" applyAlignment="1">
      <alignment horizontal="center"/>
    </xf>
    <xf numFmtId="0" fontId="12" fillId="0" borderId="0" xfId="248" applyFont="1" applyAlignment="1">
      <alignment horizontal="left" vertical="top" wrapText="1"/>
    </xf>
  </cellXfs>
  <cellStyles count="342">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12 2" xfId="87" xr:uid="{00000000-0005-0000-0000-000056000000}"/>
    <cellStyle name="Comma 2" xfId="88" xr:uid="{00000000-0005-0000-0000-000057000000}"/>
    <cellStyle name="Comma 2 2" xfId="89" xr:uid="{00000000-0005-0000-0000-000058000000}"/>
    <cellStyle name="Comma 2 2 2" xfId="341" xr:uid="{C2E33C00-FF43-4BA7-96C8-067FAEAD9257}"/>
    <cellStyle name="Comma 2 3" xfId="333" xr:uid="{2DB36651-13D3-4AD3-A379-FACC0E0E0582}"/>
    <cellStyle name="Comma 3" xfId="90" xr:uid="{00000000-0005-0000-0000-000059000000}"/>
    <cellStyle name="Comma 3 2" xfId="91" xr:uid="{00000000-0005-0000-0000-00005A000000}"/>
    <cellStyle name="Comma 3 3" xfId="92" xr:uid="{00000000-0005-0000-0000-00005B000000}"/>
    <cellStyle name="Comma 3 3 2" xfId="93" xr:uid="{00000000-0005-0000-0000-00005C000000}"/>
    <cellStyle name="Comma 3 3 3" xfId="94" xr:uid="{00000000-0005-0000-0000-00005D000000}"/>
    <cellStyle name="Comma 3 4" xfId="95" xr:uid="{00000000-0005-0000-0000-00005E000000}"/>
    <cellStyle name="Comma 3 4 2" xfId="96" xr:uid="{00000000-0005-0000-0000-00005F000000}"/>
    <cellStyle name="Comma 3 4 3" xfId="97" xr:uid="{00000000-0005-0000-0000-000060000000}"/>
    <cellStyle name="Comma 3 5" xfId="98" xr:uid="{00000000-0005-0000-0000-000061000000}"/>
    <cellStyle name="Comma 3 5 2" xfId="99" xr:uid="{00000000-0005-0000-0000-000062000000}"/>
    <cellStyle name="Comma 3 6" xfId="100" xr:uid="{00000000-0005-0000-0000-000063000000}"/>
    <cellStyle name="Comma 3 7" xfId="101" xr:uid="{00000000-0005-0000-0000-000064000000}"/>
    <cellStyle name="Comma 4 2" xfId="102" xr:uid="{00000000-0005-0000-0000-000065000000}"/>
    <cellStyle name="Comma 4 2 2" xfId="103" xr:uid="{00000000-0005-0000-0000-000066000000}"/>
    <cellStyle name="Comma 4 3" xfId="104" xr:uid="{00000000-0005-0000-0000-000067000000}"/>
    <cellStyle name="Comma 5 2" xfId="105" xr:uid="{00000000-0005-0000-0000-000068000000}"/>
    <cellStyle name="Comma 6" xfId="106" xr:uid="{00000000-0005-0000-0000-000069000000}"/>
    <cellStyle name="Comma 6 2" xfId="107" xr:uid="{00000000-0005-0000-0000-00006A000000}"/>
    <cellStyle name="Comma 6 2 2" xfId="108" xr:uid="{00000000-0005-0000-0000-00006B000000}"/>
    <cellStyle name="Comma 6 3" xfId="109" xr:uid="{00000000-0005-0000-0000-00006C000000}"/>
    <cellStyle name="Comma 7" xfId="110" xr:uid="{00000000-0005-0000-0000-00006D000000}"/>
    <cellStyle name="Comma 9" xfId="111" xr:uid="{00000000-0005-0000-0000-00006E000000}"/>
    <cellStyle name="Comma_spp calc - revsd rev crd" xfId="112" xr:uid="{00000000-0005-0000-0000-00006F000000}"/>
    <cellStyle name="Comma_spp calc - revsd rev crd 2" xfId="113" xr:uid="{00000000-0005-0000-0000-000070000000}"/>
    <cellStyle name="Comma0" xfId="114" xr:uid="{00000000-0005-0000-0000-000071000000}"/>
    <cellStyle name="Currency" xfId="115" builtinId="4"/>
    <cellStyle name="Currency 2" xfId="116" xr:uid="{00000000-0005-0000-0000-000073000000}"/>
    <cellStyle name="Currency 2 2" xfId="117" xr:uid="{00000000-0005-0000-0000-000074000000}"/>
    <cellStyle name="Currency 3" xfId="118" xr:uid="{00000000-0005-0000-0000-000075000000}"/>
    <cellStyle name="Currency 3 2" xfId="119" xr:uid="{00000000-0005-0000-0000-000076000000}"/>
    <cellStyle name="Currency 3 3" xfId="120" xr:uid="{00000000-0005-0000-0000-000077000000}"/>
    <cellStyle name="Currency 3 3 2" xfId="121" xr:uid="{00000000-0005-0000-0000-000078000000}"/>
    <cellStyle name="Currency 3 3 3" xfId="122" xr:uid="{00000000-0005-0000-0000-000079000000}"/>
    <cellStyle name="Currency 3 4" xfId="123" xr:uid="{00000000-0005-0000-0000-00007A000000}"/>
    <cellStyle name="Currency 3 4 2" xfId="124" xr:uid="{00000000-0005-0000-0000-00007B000000}"/>
    <cellStyle name="Currency 3 4 3" xfId="125" xr:uid="{00000000-0005-0000-0000-00007C000000}"/>
    <cellStyle name="Currency 3 5" xfId="126" xr:uid="{00000000-0005-0000-0000-00007D000000}"/>
    <cellStyle name="Currency 3 5 2" xfId="127" xr:uid="{00000000-0005-0000-0000-00007E000000}"/>
    <cellStyle name="Currency 3 6" xfId="128" xr:uid="{00000000-0005-0000-0000-00007F000000}"/>
    <cellStyle name="Currency 4 2" xfId="129" xr:uid="{00000000-0005-0000-0000-000080000000}"/>
    <cellStyle name="Currency 4 2 2" xfId="130" xr:uid="{00000000-0005-0000-0000-000081000000}"/>
    <cellStyle name="Currency 4 3" xfId="131" xr:uid="{00000000-0005-0000-0000-000082000000}"/>
    <cellStyle name="Currency 5 2" xfId="132" xr:uid="{00000000-0005-0000-0000-000083000000}"/>
    <cellStyle name="Currency 6" xfId="133" xr:uid="{00000000-0005-0000-0000-000084000000}"/>
    <cellStyle name="Currency0" xfId="134" xr:uid="{00000000-0005-0000-0000-000085000000}"/>
    <cellStyle name="Date" xfId="135" xr:uid="{00000000-0005-0000-0000-000086000000}"/>
    <cellStyle name="Explanatory Text" xfId="136" builtinId="53" customBuiltin="1"/>
    <cellStyle name="Explanatory Text 2" xfId="137" xr:uid="{00000000-0005-0000-0000-000088000000}"/>
    <cellStyle name="Fixed" xfId="138" xr:uid="{00000000-0005-0000-0000-000089000000}"/>
    <cellStyle name="Good" xfId="139" builtinId="26" customBuiltin="1"/>
    <cellStyle name="Good 2" xfId="140" xr:uid="{00000000-0005-0000-0000-00008B000000}"/>
    <cellStyle name="Heading 1" xfId="141" builtinId="16" customBuiltin="1"/>
    <cellStyle name="Heading 1 2" xfId="142" xr:uid="{00000000-0005-0000-0000-00008D000000}"/>
    <cellStyle name="Heading 2" xfId="143" builtinId="17" customBuiltin="1"/>
    <cellStyle name="Heading 2 2" xfId="144" xr:uid="{00000000-0005-0000-0000-00008F000000}"/>
    <cellStyle name="Heading 3" xfId="145" builtinId="18" customBuiltin="1"/>
    <cellStyle name="Heading 3 2" xfId="146" xr:uid="{00000000-0005-0000-0000-000091000000}"/>
    <cellStyle name="Heading 4" xfId="147" builtinId="19" customBuiltin="1"/>
    <cellStyle name="Heading 4 2" xfId="148" xr:uid="{00000000-0005-0000-0000-000093000000}"/>
    <cellStyle name="Heading1" xfId="149" xr:uid="{00000000-0005-0000-0000-000094000000}"/>
    <cellStyle name="Heading2" xfId="150" xr:uid="{00000000-0005-0000-0000-000095000000}"/>
    <cellStyle name="Input" xfId="151" builtinId="20" customBuiltin="1"/>
    <cellStyle name="Input 2" xfId="152" xr:uid="{00000000-0005-0000-0000-000097000000}"/>
    <cellStyle name="Linked Cell" xfId="153" builtinId="24" customBuiltin="1"/>
    <cellStyle name="Linked Cell 2" xfId="154" xr:uid="{00000000-0005-0000-0000-000099000000}"/>
    <cellStyle name="Neutral" xfId="155" builtinId="28" customBuiltin="1"/>
    <cellStyle name="Neutral 2" xfId="156" xr:uid="{00000000-0005-0000-0000-00009B000000}"/>
    <cellStyle name="Normal" xfId="0" builtinId="0"/>
    <cellStyle name="Normal 10" xfId="157" xr:uid="{00000000-0005-0000-0000-00009D000000}"/>
    <cellStyle name="Normal 10 2" xfId="158" xr:uid="{00000000-0005-0000-0000-00009E000000}"/>
    <cellStyle name="Normal 10 3" xfId="159" xr:uid="{00000000-0005-0000-0000-00009F000000}"/>
    <cellStyle name="Normal 10 4" xfId="160" xr:uid="{00000000-0005-0000-0000-0000A0000000}"/>
    <cellStyle name="Normal 11" xfId="161" xr:uid="{00000000-0005-0000-0000-0000A1000000}"/>
    <cellStyle name="Normal 11 2" xfId="162" xr:uid="{00000000-0005-0000-0000-0000A2000000}"/>
    <cellStyle name="Normal 11 3" xfId="163" xr:uid="{00000000-0005-0000-0000-0000A3000000}"/>
    <cellStyle name="Normal 11 4" xfId="164" xr:uid="{00000000-0005-0000-0000-0000A4000000}"/>
    <cellStyle name="Normal 12" xfId="165" xr:uid="{00000000-0005-0000-0000-0000A5000000}"/>
    <cellStyle name="Normal 12 2" xfId="166" xr:uid="{00000000-0005-0000-0000-0000A6000000}"/>
    <cellStyle name="Normal 12 4" xfId="167" xr:uid="{00000000-0005-0000-0000-0000A7000000}"/>
    <cellStyle name="Normal 13" xfId="168" xr:uid="{00000000-0005-0000-0000-0000A8000000}"/>
    <cellStyle name="Normal 13 2" xfId="169" xr:uid="{00000000-0005-0000-0000-0000A9000000}"/>
    <cellStyle name="Normal 14" xfId="170" xr:uid="{00000000-0005-0000-0000-0000AA000000}"/>
    <cellStyle name="Normal 14 2" xfId="171" xr:uid="{00000000-0005-0000-0000-0000AB000000}"/>
    <cellStyle name="Normal 15" xfId="172" xr:uid="{00000000-0005-0000-0000-0000AC000000}"/>
    <cellStyle name="Normal 16" xfId="173" xr:uid="{00000000-0005-0000-0000-0000AD000000}"/>
    <cellStyle name="Normal 16 2" xfId="174" xr:uid="{00000000-0005-0000-0000-0000AE000000}"/>
    <cellStyle name="Normal 17" xfId="175" xr:uid="{00000000-0005-0000-0000-0000AF000000}"/>
    <cellStyle name="Normal 17 2" xfId="176" xr:uid="{00000000-0005-0000-0000-0000B0000000}"/>
    <cellStyle name="Normal 18" xfId="177" xr:uid="{00000000-0005-0000-0000-0000B1000000}"/>
    <cellStyle name="Normal 18 2" xfId="178" xr:uid="{00000000-0005-0000-0000-0000B2000000}"/>
    <cellStyle name="Normal 19" xfId="179" xr:uid="{00000000-0005-0000-0000-0000B3000000}"/>
    <cellStyle name="Normal 19 2" xfId="180" xr:uid="{00000000-0005-0000-0000-0000B4000000}"/>
    <cellStyle name="Normal 2" xfId="181" xr:uid="{00000000-0005-0000-0000-0000B5000000}"/>
    <cellStyle name="Normal 2 2" xfId="182" xr:uid="{00000000-0005-0000-0000-0000B6000000}"/>
    <cellStyle name="Normal 2 2 2" xfId="183" xr:uid="{00000000-0005-0000-0000-0000B7000000}"/>
    <cellStyle name="Normal 2 2 3" xfId="184" xr:uid="{00000000-0005-0000-0000-0000B8000000}"/>
    <cellStyle name="Normal 2 2 4" xfId="185" xr:uid="{00000000-0005-0000-0000-0000B9000000}"/>
    <cellStyle name="Normal 2 3" xfId="186" xr:uid="{00000000-0005-0000-0000-0000BA000000}"/>
    <cellStyle name="Normal 2 4" xfId="332" xr:uid="{7A0BB6F2-6FE4-44E8-A9EE-F405F8EA3DC3}"/>
    <cellStyle name="Normal 2 5" xfId="187" xr:uid="{00000000-0005-0000-0000-0000BB000000}"/>
    <cellStyle name="Normal 2 5 2" xfId="188" xr:uid="{00000000-0005-0000-0000-0000BC000000}"/>
    <cellStyle name="Normal 20" xfId="189" xr:uid="{00000000-0005-0000-0000-0000BD000000}"/>
    <cellStyle name="Normal 20 2" xfId="190" xr:uid="{00000000-0005-0000-0000-0000BE000000}"/>
    <cellStyle name="Normal 21" xfId="191" xr:uid="{00000000-0005-0000-0000-0000BF000000}"/>
    <cellStyle name="Normal 21 2" xfId="192" xr:uid="{00000000-0005-0000-0000-0000C0000000}"/>
    <cellStyle name="Normal 22" xfId="193" xr:uid="{00000000-0005-0000-0000-0000C1000000}"/>
    <cellStyle name="Normal 22 2" xfId="194" xr:uid="{00000000-0005-0000-0000-0000C2000000}"/>
    <cellStyle name="Normal 23" xfId="195" xr:uid="{00000000-0005-0000-0000-0000C3000000}"/>
    <cellStyle name="Normal 23 2" xfId="196" xr:uid="{00000000-0005-0000-0000-0000C4000000}"/>
    <cellStyle name="Normal 24" xfId="197" xr:uid="{00000000-0005-0000-0000-0000C5000000}"/>
    <cellStyle name="Normal 24 2" xfId="198" xr:uid="{00000000-0005-0000-0000-0000C6000000}"/>
    <cellStyle name="Normal 25" xfId="199" xr:uid="{00000000-0005-0000-0000-0000C7000000}"/>
    <cellStyle name="Normal 25 2" xfId="200" xr:uid="{00000000-0005-0000-0000-0000C8000000}"/>
    <cellStyle name="Normal 26" xfId="201" xr:uid="{00000000-0005-0000-0000-0000C9000000}"/>
    <cellStyle name="Normal 26 2" xfId="202" xr:uid="{00000000-0005-0000-0000-0000CA000000}"/>
    <cellStyle name="Normal 27" xfId="203" xr:uid="{00000000-0005-0000-0000-0000CB000000}"/>
    <cellStyle name="Normal 28" xfId="204" xr:uid="{00000000-0005-0000-0000-0000CC000000}"/>
    <cellStyle name="Normal 29" xfId="205" xr:uid="{00000000-0005-0000-0000-0000CD000000}"/>
    <cellStyle name="Normal 3" xfId="206" xr:uid="{00000000-0005-0000-0000-0000CE000000}"/>
    <cellStyle name="Normal 3 2" xfId="207" xr:uid="{00000000-0005-0000-0000-0000CF000000}"/>
    <cellStyle name="Normal 3 2 2" xfId="340" xr:uid="{2E824D80-E39F-4C5B-A83F-8B03D670BAA2}"/>
    <cellStyle name="Normal 3 2 4" xfId="338" xr:uid="{8102737B-C4CE-4F20-961E-F03167715B47}"/>
    <cellStyle name="Normal 3 3" xfId="208" xr:uid="{00000000-0005-0000-0000-0000D0000000}"/>
    <cellStyle name="Normal 3_Attach O, GG, Support -New Method 2-14-11" xfId="209" xr:uid="{00000000-0005-0000-0000-0000D1000000}"/>
    <cellStyle name="Normal 31 2" xfId="210" xr:uid="{00000000-0005-0000-0000-0000D2000000}"/>
    <cellStyle name="Normal 31 2 2" xfId="334" xr:uid="{55519693-8302-4C57-A6F4-65D4EB39016D}"/>
    <cellStyle name="Normal 4" xfId="211" xr:uid="{00000000-0005-0000-0000-0000D3000000}"/>
    <cellStyle name="Normal 4 2" xfId="212" xr:uid="{00000000-0005-0000-0000-0000D4000000}"/>
    <cellStyle name="Normal 4 3" xfId="213" xr:uid="{00000000-0005-0000-0000-0000D5000000}"/>
    <cellStyle name="Normal 4 3 2" xfId="214" xr:uid="{00000000-0005-0000-0000-0000D6000000}"/>
    <cellStyle name="Normal 4 3 3" xfId="215" xr:uid="{00000000-0005-0000-0000-0000D7000000}"/>
    <cellStyle name="Normal 4 4" xfId="216" xr:uid="{00000000-0005-0000-0000-0000D8000000}"/>
    <cellStyle name="Normal 4 4 2" xfId="217" xr:uid="{00000000-0005-0000-0000-0000D9000000}"/>
    <cellStyle name="Normal 4 4 3" xfId="218" xr:uid="{00000000-0005-0000-0000-0000DA000000}"/>
    <cellStyle name="Normal 4 5" xfId="219" xr:uid="{00000000-0005-0000-0000-0000DB000000}"/>
    <cellStyle name="Normal 4 5 2" xfId="220" xr:uid="{00000000-0005-0000-0000-0000DC000000}"/>
    <cellStyle name="Normal 4 6" xfId="221" xr:uid="{00000000-0005-0000-0000-0000DD000000}"/>
    <cellStyle name="Normal 4 7" xfId="222" xr:uid="{00000000-0005-0000-0000-0000DE000000}"/>
    <cellStyle name="Normal 4_PBOP Exhibit 1" xfId="223" xr:uid="{00000000-0005-0000-0000-0000DF000000}"/>
    <cellStyle name="Normal 5" xfId="335" xr:uid="{2B6CA80B-FB86-4FC7-8494-48E54BD2CFFE}"/>
    <cellStyle name="Normal 5 2" xfId="224" xr:uid="{00000000-0005-0000-0000-0000E0000000}"/>
    <cellStyle name="Normal 5 2 2" xfId="225" xr:uid="{00000000-0005-0000-0000-0000E1000000}"/>
    <cellStyle name="Normal 5 2 3" xfId="226" xr:uid="{00000000-0005-0000-0000-0000E2000000}"/>
    <cellStyle name="Normal 5 3" xfId="227" xr:uid="{00000000-0005-0000-0000-0000E3000000}"/>
    <cellStyle name="Normal 5 4" xfId="228" xr:uid="{00000000-0005-0000-0000-0000E4000000}"/>
    <cellStyle name="Normal 5 4 2" xfId="229" xr:uid="{00000000-0005-0000-0000-0000E5000000}"/>
    <cellStyle name="Normal 6 2" xfId="230" xr:uid="{00000000-0005-0000-0000-0000E6000000}"/>
    <cellStyle name="Normal 6 2 2" xfId="231" xr:uid="{00000000-0005-0000-0000-0000E7000000}"/>
    <cellStyle name="Normal 6 2 3" xfId="232" xr:uid="{00000000-0005-0000-0000-0000E8000000}"/>
    <cellStyle name="Normal 6 2 4" xfId="233" xr:uid="{00000000-0005-0000-0000-0000E9000000}"/>
    <cellStyle name="Normal 6 3" xfId="234" xr:uid="{00000000-0005-0000-0000-0000EA000000}"/>
    <cellStyle name="Normal 6 3 2" xfId="235" xr:uid="{00000000-0005-0000-0000-0000EB000000}"/>
    <cellStyle name="Normal 6 4" xfId="236" xr:uid="{00000000-0005-0000-0000-0000EC000000}"/>
    <cellStyle name="Normal 6 5" xfId="237" xr:uid="{00000000-0005-0000-0000-0000ED000000}"/>
    <cellStyle name="Normal 7" xfId="238" xr:uid="{00000000-0005-0000-0000-0000EE000000}"/>
    <cellStyle name="Normal 7 2" xfId="239" xr:uid="{00000000-0005-0000-0000-0000EF000000}"/>
    <cellStyle name="Normal 7 3" xfId="240" xr:uid="{00000000-0005-0000-0000-0000F0000000}"/>
    <cellStyle name="Normal 8" xfId="241" xr:uid="{00000000-0005-0000-0000-0000F1000000}"/>
    <cellStyle name="Normal 8 2" xfId="242" xr:uid="{00000000-0005-0000-0000-0000F2000000}"/>
    <cellStyle name="Normal 8 3" xfId="243" xr:uid="{00000000-0005-0000-0000-0000F3000000}"/>
    <cellStyle name="Normal 9" xfId="244" xr:uid="{00000000-0005-0000-0000-0000F4000000}"/>
    <cellStyle name="Normal 9 2" xfId="245" xr:uid="{00000000-0005-0000-0000-0000F5000000}"/>
    <cellStyle name="Normal 9 3" xfId="246" xr:uid="{00000000-0005-0000-0000-0000F6000000}"/>
    <cellStyle name="Normal_21 Exh B" xfId="247" xr:uid="{00000000-0005-0000-0000-0000F7000000}"/>
    <cellStyle name="Normal_ADITAnalysisID090805" xfId="248" xr:uid="{00000000-0005-0000-0000-0000F8000000}"/>
    <cellStyle name="Normal_ADITAnalysisID090805 2" xfId="249" xr:uid="{00000000-0005-0000-0000-0000F9000000}"/>
    <cellStyle name="Normal_ADITAnalysisID090805 2 2" xfId="250" xr:uid="{00000000-0005-0000-0000-0000FA000000}"/>
    <cellStyle name="Normal_ADITAnalysisID090805 2 3" xfId="336" xr:uid="{38284C5F-C376-4E3E-8728-03C628757162}"/>
    <cellStyle name="Normal_ADITAnalysisID090805 3" xfId="251" xr:uid="{00000000-0005-0000-0000-0000FB000000}"/>
    <cellStyle name="Normal_ATC Projected 2008 Monthly Plant Balances for Attachment O 2 (2)" xfId="252" xr:uid="{00000000-0005-0000-0000-0000FC000000}"/>
    <cellStyle name="Normal_AU Period 2 Rev 4-27-00" xfId="253" xr:uid="{00000000-0005-0000-0000-0000FD000000}"/>
    <cellStyle name="Normal_Copy of PATH Formula Rate 2010 Projection Filed Sept 1, 2009 R1" xfId="254" xr:uid="{00000000-0005-0000-0000-0000FE000000}"/>
    <cellStyle name="Normal_FN1 Ratebase Draft SPP template (6-11-04) v2" xfId="255" xr:uid="{00000000-0005-0000-0000-0000FF000000}"/>
    <cellStyle name="Normal_I&amp;M-AK-1" xfId="256" xr:uid="{00000000-0005-0000-0000-000000010000}"/>
    <cellStyle name="Normal_IM LTD Hedge Entries 2" xfId="257" xr:uid="{00000000-0005-0000-0000-000001010000}"/>
    <cellStyle name="Normal_Revised 1-21-10  Deprec Summary" xfId="258" xr:uid="{00000000-0005-0000-0000-000002010000}"/>
    <cellStyle name="Normal_Schedule O Info for Mike" xfId="259" xr:uid="{00000000-0005-0000-0000-000003010000}"/>
    <cellStyle name="Normal_Schedule O Info for Mike 2" xfId="339" xr:uid="{F2B9CC41-9647-400E-9708-CE163204A62F}"/>
    <cellStyle name="Normal_spp calc - revsd rev crd" xfId="260" xr:uid="{00000000-0005-0000-0000-000004010000}"/>
    <cellStyle name="Normal_spp calc - revsd rev crd 2" xfId="261" xr:uid="{00000000-0005-0000-0000-000005010000}"/>
    <cellStyle name="Normal_Worksheet Q Draft dwb edits" xfId="262" xr:uid="{00000000-0005-0000-0000-000006010000}"/>
    <cellStyle name="Note" xfId="263" builtinId="10" customBuiltin="1"/>
    <cellStyle name="Note 2" xfId="264" xr:uid="{00000000-0005-0000-0000-000008010000}"/>
    <cellStyle name="Output" xfId="265" builtinId="21" customBuiltin="1"/>
    <cellStyle name="Output 2" xfId="266" xr:uid="{00000000-0005-0000-0000-00000A010000}"/>
    <cellStyle name="Percent" xfId="267" builtinId="5"/>
    <cellStyle name="Percent 2" xfId="268" xr:uid="{00000000-0005-0000-0000-00000C010000}"/>
    <cellStyle name="Percent 2 2" xfId="269" xr:uid="{00000000-0005-0000-0000-00000D010000}"/>
    <cellStyle name="Percent 3" xfId="270" xr:uid="{00000000-0005-0000-0000-00000E010000}"/>
    <cellStyle name="Percent 3 2" xfId="271" xr:uid="{00000000-0005-0000-0000-00000F010000}"/>
    <cellStyle name="Percent 3 2 2" xfId="337" xr:uid="{3E24C23F-C0BC-4663-9160-EA2A01EA8BA6}"/>
    <cellStyle name="Percent 3 3" xfId="272" xr:uid="{00000000-0005-0000-0000-000010010000}"/>
    <cellStyle name="Percent 3 3 2" xfId="273" xr:uid="{00000000-0005-0000-0000-000011010000}"/>
    <cellStyle name="Percent 3 3 3" xfId="274" xr:uid="{00000000-0005-0000-0000-000012010000}"/>
    <cellStyle name="Percent 3 4" xfId="275" xr:uid="{00000000-0005-0000-0000-000013010000}"/>
    <cellStyle name="Percent 3 4 2" xfId="276" xr:uid="{00000000-0005-0000-0000-000014010000}"/>
    <cellStyle name="Percent 3 4 3" xfId="277" xr:uid="{00000000-0005-0000-0000-000015010000}"/>
    <cellStyle name="Percent 3 5" xfId="278" xr:uid="{00000000-0005-0000-0000-000016010000}"/>
    <cellStyle name="Percent 3 5 2" xfId="279" xr:uid="{00000000-0005-0000-0000-000017010000}"/>
    <cellStyle name="Percent 3 6" xfId="280" xr:uid="{00000000-0005-0000-0000-000018010000}"/>
    <cellStyle name="Percent 4 2" xfId="281" xr:uid="{00000000-0005-0000-0000-000019010000}"/>
    <cellStyle name="Percent 4 3" xfId="282" xr:uid="{00000000-0005-0000-0000-00001A010000}"/>
    <cellStyle name="Percent 4 3 2" xfId="283" xr:uid="{00000000-0005-0000-0000-00001B010000}"/>
    <cellStyle name="Percent 4 4" xfId="284" xr:uid="{00000000-0005-0000-0000-00001C010000}"/>
    <cellStyle name="Percent 5 2" xfId="285" xr:uid="{00000000-0005-0000-0000-00001D010000}"/>
    <cellStyle name="Percent 6" xfId="286" xr:uid="{00000000-0005-0000-0000-00001E010000}"/>
    <cellStyle name="PSChar" xfId="287" xr:uid="{00000000-0005-0000-0000-00001F010000}"/>
    <cellStyle name="PSDate" xfId="288" xr:uid="{00000000-0005-0000-0000-000020010000}"/>
    <cellStyle name="PSDec" xfId="289" xr:uid="{00000000-0005-0000-0000-000021010000}"/>
    <cellStyle name="PSdesc" xfId="290" xr:uid="{00000000-0005-0000-0000-000022010000}"/>
    <cellStyle name="PSHeading" xfId="291" xr:uid="{00000000-0005-0000-0000-000023010000}"/>
    <cellStyle name="PSInt" xfId="292" xr:uid="{00000000-0005-0000-0000-000024010000}"/>
    <cellStyle name="PSSpacer" xfId="293" xr:uid="{00000000-0005-0000-0000-000025010000}"/>
    <cellStyle name="PStest" xfId="294" xr:uid="{00000000-0005-0000-0000-000026010000}"/>
    <cellStyle name="R00A" xfId="295" xr:uid="{00000000-0005-0000-0000-000027010000}"/>
    <cellStyle name="R00B" xfId="296" xr:uid="{00000000-0005-0000-0000-000028010000}"/>
    <cellStyle name="R00L" xfId="297" xr:uid="{00000000-0005-0000-0000-000029010000}"/>
    <cellStyle name="R01A" xfId="298" xr:uid="{00000000-0005-0000-0000-00002A010000}"/>
    <cellStyle name="R01B" xfId="299" xr:uid="{00000000-0005-0000-0000-00002B010000}"/>
    <cellStyle name="R01H" xfId="300" xr:uid="{00000000-0005-0000-0000-00002C010000}"/>
    <cellStyle name="R01L" xfId="301" xr:uid="{00000000-0005-0000-0000-00002D010000}"/>
    <cellStyle name="R02A" xfId="302" xr:uid="{00000000-0005-0000-0000-00002E010000}"/>
    <cellStyle name="R02B" xfId="303" xr:uid="{00000000-0005-0000-0000-00002F010000}"/>
    <cellStyle name="R02H" xfId="304" xr:uid="{00000000-0005-0000-0000-000030010000}"/>
    <cellStyle name="R02L" xfId="305" xr:uid="{00000000-0005-0000-0000-000031010000}"/>
    <cellStyle name="R03A" xfId="306" xr:uid="{00000000-0005-0000-0000-000032010000}"/>
    <cellStyle name="R03B" xfId="307" xr:uid="{00000000-0005-0000-0000-000033010000}"/>
    <cellStyle name="R03H" xfId="308" xr:uid="{00000000-0005-0000-0000-000034010000}"/>
    <cellStyle name="R03L" xfId="309" xr:uid="{00000000-0005-0000-0000-000035010000}"/>
    <cellStyle name="R04A" xfId="310" xr:uid="{00000000-0005-0000-0000-000036010000}"/>
    <cellStyle name="R04B" xfId="311" xr:uid="{00000000-0005-0000-0000-000037010000}"/>
    <cellStyle name="R04H" xfId="312" xr:uid="{00000000-0005-0000-0000-000038010000}"/>
    <cellStyle name="R04L" xfId="313" xr:uid="{00000000-0005-0000-0000-000039010000}"/>
    <cellStyle name="R05A" xfId="314" xr:uid="{00000000-0005-0000-0000-00003A010000}"/>
    <cellStyle name="R05B" xfId="315" xr:uid="{00000000-0005-0000-0000-00003B010000}"/>
    <cellStyle name="R05H" xfId="316" xr:uid="{00000000-0005-0000-0000-00003C010000}"/>
    <cellStyle name="R05L" xfId="317" xr:uid="{00000000-0005-0000-0000-00003D010000}"/>
    <cellStyle name="R06A" xfId="318" xr:uid="{00000000-0005-0000-0000-00003E010000}"/>
    <cellStyle name="R06B" xfId="319" xr:uid="{00000000-0005-0000-0000-00003F010000}"/>
    <cellStyle name="R06H" xfId="320" xr:uid="{00000000-0005-0000-0000-000040010000}"/>
    <cellStyle name="R06L" xfId="321" xr:uid="{00000000-0005-0000-0000-000041010000}"/>
    <cellStyle name="R07A" xfId="322" xr:uid="{00000000-0005-0000-0000-000042010000}"/>
    <cellStyle name="R07B" xfId="323" xr:uid="{00000000-0005-0000-0000-000043010000}"/>
    <cellStyle name="R07H" xfId="324" xr:uid="{00000000-0005-0000-0000-000044010000}"/>
    <cellStyle name="R07L" xfId="325" xr:uid="{00000000-0005-0000-0000-000045010000}"/>
    <cellStyle name="Title" xfId="326" builtinId="15" customBuiltin="1"/>
    <cellStyle name="Title 2" xfId="327" xr:uid="{00000000-0005-0000-0000-000047010000}"/>
    <cellStyle name="Total" xfId="328" builtinId="25" customBuiltin="1"/>
    <cellStyle name="Total 2" xfId="329" xr:uid="{00000000-0005-0000-0000-000049010000}"/>
    <cellStyle name="Warning Text" xfId="330" builtinId="11" customBuiltin="1"/>
    <cellStyle name="Warning Text 2" xfId="331" xr:uid="{00000000-0005-0000-0000-00004B010000}"/>
  </cellStyles>
  <dxfs count="32">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C0C0C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U390"/>
  <sheetViews>
    <sheetView tabSelected="1" view="pageBreakPreview" zoomScale="70" zoomScaleNormal="70" zoomScaleSheetLayoutView="70" zoomScalePageLayoutView="50" workbookViewId="0">
      <selection activeCell="E19" sqref="E19"/>
    </sheetView>
  </sheetViews>
  <sheetFormatPr defaultColWidth="11.42578125" defaultRowHeight="15"/>
  <cols>
    <col min="1" max="1" width="4.7109375" style="126" customWidth="1"/>
    <col min="2" max="2" width="7.85546875" style="125" customWidth="1"/>
    <col min="3" max="3" width="1.85546875" style="126" customWidth="1"/>
    <col min="4" max="4" width="56" style="126" customWidth="1"/>
    <col min="5" max="5" width="51.5703125" style="126" customWidth="1"/>
    <col min="6" max="6" width="17.5703125" style="126" customWidth="1"/>
    <col min="7" max="7" width="20.7109375" style="126" customWidth="1"/>
    <col min="8" max="8" width="20" style="126" customWidth="1"/>
    <col min="9" max="9" width="9.85546875" style="126" customWidth="1"/>
    <col min="10" max="10" width="17" style="126" customWidth="1"/>
    <col min="11" max="11" width="11.140625" style="126" customWidth="1"/>
    <col min="12" max="12" width="21.140625" style="126" customWidth="1"/>
    <col min="13" max="13" width="17" style="126" customWidth="1"/>
    <col min="14" max="14" width="17.5703125" style="126" customWidth="1"/>
    <col min="15" max="15" width="11.140625" style="126" customWidth="1"/>
    <col min="16" max="16" width="21.85546875" style="126" customWidth="1"/>
    <col min="17" max="17" width="11.42578125" style="126" customWidth="1"/>
    <col min="18" max="18" width="20.5703125" style="126" bestFit="1" customWidth="1"/>
    <col min="19" max="16384" width="11.42578125" style="126"/>
  </cols>
  <sheetData>
    <row r="1" spans="1:16" ht="15.75">
      <c r="A1" s="730" t="s">
        <v>406</v>
      </c>
    </row>
    <row r="2" spans="1:16" ht="15.75">
      <c r="A2" s="730" t="s">
        <v>406</v>
      </c>
    </row>
    <row r="3" spans="1:16" ht="15.75">
      <c r="D3"/>
      <c r="E3" s="127"/>
      <c r="F3" s="127"/>
      <c r="G3" s="128"/>
      <c r="I3" s="129"/>
      <c r="J3" s="129"/>
      <c r="K3" s="129"/>
      <c r="N3" s="126" t="s">
        <v>406</v>
      </c>
      <c r="O3" s="130" t="s">
        <v>406</v>
      </c>
      <c r="P3" s="126" t="s">
        <v>406</v>
      </c>
    </row>
    <row r="4" spans="1:16">
      <c r="I4" s="126" t="s">
        <v>546</v>
      </c>
      <c r="L4" s="296">
        <v>2026</v>
      </c>
    </row>
    <row r="5" spans="1:16">
      <c r="D5" s="131"/>
      <c r="E5" s="131"/>
      <c r="F5" s="17" t="s">
        <v>321</v>
      </c>
      <c r="G5" s="132"/>
      <c r="H5" s="132"/>
      <c r="J5" s="131"/>
      <c r="K5" s="131"/>
      <c r="L5" s="131"/>
      <c r="M5" s="133"/>
      <c r="O5" s="134"/>
    </row>
    <row r="6" spans="1:16">
      <c r="D6" s="131"/>
      <c r="E6" s="135"/>
      <c r="F6" s="17" t="s">
        <v>195</v>
      </c>
      <c r="G6" s="132"/>
      <c r="H6" s="132"/>
      <c r="J6" s="135"/>
      <c r="K6" s="131"/>
      <c r="L6" s="131"/>
      <c r="M6" s="133"/>
    </row>
    <row r="7" spans="1:16">
      <c r="D7" s="131"/>
      <c r="E7" s="131"/>
      <c r="F7" s="2" t="str">
        <f>"Utilizing  Actual/Projected FERC Form 1 Data"</f>
        <v>Utilizing  Actual/Projected FERC Form 1 Data</v>
      </c>
      <c r="G7" s="132"/>
      <c r="H7" s="132"/>
      <c r="J7" s="131"/>
      <c r="K7" s="131"/>
      <c r="L7" s="131"/>
      <c r="M7" s="133"/>
    </row>
    <row r="8" spans="1:16">
      <c r="B8" s="136"/>
      <c r="C8" s="137"/>
      <c r="D8" s="131"/>
      <c r="H8" s="138"/>
      <c r="I8" s="138"/>
      <c r="J8" s="138"/>
      <c r="K8" s="138"/>
      <c r="L8" s="131"/>
      <c r="M8" s="131"/>
    </row>
    <row r="9" spans="1:16" ht="15.75">
      <c r="B9" s="136"/>
      <c r="C9" s="137"/>
      <c r="D9"/>
      <c r="E9" s="131"/>
      <c r="F9" s="139" t="s">
        <v>793</v>
      </c>
      <c r="G9" s="140"/>
      <c r="H9" s="131"/>
      <c r="I9" s="131"/>
      <c r="J9" s="131"/>
      <c r="K9" s="131"/>
      <c r="L9"/>
      <c r="M9" s="131"/>
    </row>
    <row r="10" spans="1:16">
      <c r="B10" s="136"/>
      <c r="C10" s="137"/>
      <c r="D10" s="131"/>
      <c r="E10" s="131"/>
      <c r="F10" s="141"/>
      <c r="G10" s="140"/>
      <c r="H10" s="131"/>
      <c r="I10" s="131"/>
      <c r="J10" s="131"/>
      <c r="K10" s="131"/>
      <c r="L10"/>
      <c r="M10" s="131"/>
    </row>
    <row r="11" spans="1:16">
      <c r="B11" s="136" t="s">
        <v>459</v>
      </c>
      <c r="C11" s="137"/>
      <c r="D11" s="131"/>
      <c r="E11" s="131"/>
      <c r="F11" s="131"/>
      <c r="G11" s="140"/>
      <c r="H11" s="131"/>
      <c r="I11" s="131"/>
      <c r="J11" s="131"/>
      <c r="K11" s="131"/>
      <c r="L11" s="137" t="s">
        <v>407</v>
      </c>
      <c r="M11" s="131"/>
    </row>
    <row r="12" spans="1:16" ht="15.75" thickBot="1">
      <c r="B12" s="142" t="s">
        <v>409</v>
      </c>
      <c r="C12" s="137"/>
      <c r="D12" s="131"/>
      <c r="E12" s="137"/>
      <c r="F12" s="131"/>
      <c r="G12" s="131"/>
      <c r="H12" s="131"/>
      <c r="I12" s="131"/>
      <c r="J12" s="131"/>
      <c r="K12" s="131"/>
      <c r="L12" s="143" t="s">
        <v>460</v>
      </c>
      <c r="M12" s="131"/>
    </row>
    <row r="13" spans="1:16">
      <c r="B13" s="136">
        <v>1</v>
      </c>
      <c r="C13" s="137"/>
      <c r="D13" s="132" t="s">
        <v>403</v>
      </c>
      <c r="E13" s="131" t="str">
        <f>"(ln "&amp;B199&amp;")"</f>
        <v>(ln 113)</v>
      </c>
      <c r="F13" s="131"/>
      <c r="G13" s="135"/>
      <c r="H13" s="144"/>
      <c r="I13" s="131"/>
      <c r="J13" s="131"/>
      <c r="K13" s="131"/>
      <c r="L13" s="145">
        <f>+L199</f>
        <v>1060516789.631901</v>
      </c>
      <c r="M13" s="131"/>
    </row>
    <row r="14" spans="1:16" ht="15.75" thickBot="1">
      <c r="B14" s="136"/>
      <c r="C14" s="137"/>
      <c r="E14" s="146"/>
      <c r="F14" s="135"/>
      <c r="G14" s="143" t="s">
        <v>410</v>
      </c>
      <c r="H14" s="135"/>
      <c r="I14" s="147" t="s">
        <v>411</v>
      </c>
      <c r="J14" s="147"/>
      <c r="K14" s="131"/>
      <c r="L14" s="135"/>
      <c r="M14" s="131"/>
    </row>
    <row r="15" spans="1:16">
      <c r="B15" s="136">
        <f>+B13+1</f>
        <v>2</v>
      </c>
      <c r="C15" s="137"/>
      <c r="D15" s="132" t="s">
        <v>458</v>
      </c>
      <c r="E15" s="146" t="str">
        <f>"(Worksheet E,  ln  "&amp;'WS E Rev Credits'!A31&amp;") (Note A) "</f>
        <v xml:space="preserve">(Worksheet E,  ln  8) (Note A) </v>
      </c>
      <c r="F15" s="135"/>
      <c r="G15" s="148">
        <f>+'WS E Rev Credits'!K31</f>
        <v>8015349.2360000014</v>
      </c>
      <c r="H15" s="135"/>
      <c r="I15" s="149" t="s">
        <v>420</v>
      </c>
      <c r="J15" s="150">
        <v>1</v>
      </c>
      <c r="K15" s="135"/>
      <c r="L15" s="151">
        <f>+J15*G15</f>
        <v>8015349.2360000014</v>
      </c>
      <c r="M15" s="131"/>
    </row>
    <row r="16" spans="1:16">
      <c r="B16" s="136"/>
      <c r="C16" s="137"/>
      <c r="D16" s="132"/>
      <c r="E16" s="146"/>
      <c r="F16" s="135"/>
      <c r="G16" s="148"/>
      <c r="H16" s="135"/>
      <c r="I16" s="149"/>
      <c r="J16" s="150"/>
      <c r="K16" s="135"/>
      <c r="L16" s="151"/>
      <c r="M16" s="131"/>
    </row>
    <row r="17" spans="2:13">
      <c r="B17" s="136">
        <f>+B15+1</f>
        <v>3</v>
      </c>
      <c r="C17" s="137"/>
      <c r="D17" s="132" t="s">
        <v>547</v>
      </c>
      <c r="E17" s="126" t="str">
        <f>"Worksheet E, ln "&amp;'WS E Rev Credits'!A33&amp;") (Note X) "</f>
        <v xml:space="preserve">Worksheet E, ln 9) (Note X) </v>
      </c>
      <c r="F17" s="135"/>
      <c r="L17" s="980">
        <f>'WS E Rev Credits'!K33</f>
        <v>7711417</v>
      </c>
      <c r="M17" s="131"/>
    </row>
    <row r="18" spans="2:13" ht="30.75" thickBot="1">
      <c r="B18" s="136">
        <f>+B17+1</f>
        <v>4</v>
      </c>
      <c r="C18" s="137"/>
      <c r="D18" s="152" t="s">
        <v>244</v>
      </c>
      <c r="E18" s="146" t="str">
        <f>"(ln "&amp;B13&amp;"  less ln " &amp;B15&amp;" plus ln 3)"</f>
        <v>(ln 1  less ln 2 plus ln 3)</v>
      </c>
      <c r="F18" s="131"/>
      <c r="H18" s="135"/>
      <c r="I18" s="149"/>
      <c r="J18" s="135"/>
      <c r="K18" s="135"/>
      <c r="L18" s="153">
        <f>+L13-L15+L17</f>
        <v>1060212857.395901</v>
      </c>
      <c r="M18" s="131"/>
    </row>
    <row r="19" spans="2:13" ht="15.75" thickTop="1">
      <c r="B19" s="136"/>
      <c r="C19" s="137"/>
      <c r="D19" s="132"/>
      <c r="E19" s="146"/>
      <c r="F19" s="131"/>
      <c r="H19" s="135"/>
      <c r="I19" s="149"/>
      <c r="J19" s="135"/>
      <c r="K19" s="135"/>
      <c r="L19" s="151"/>
      <c r="M19" s="131"/>
    </row>
    <row r="20" spans="2:13">
      <c r="B20" s="136"/>
      <c r="C20" s="137"/>
      <c r="D20" s="132"/>
      <c r="E20" s="146"/>
      <c r="F20" s="131"/>
      <c r="H20" s="135"/>
      <c r="I20" s="149"/>
      <c r="J20" s="135"/>
      <c r="K20" s="135"/>
      <c r="L20" s="151"/>
      <c r="M20" s="131"/>
    </row>
    <row r="21" spans="2:13" ht="15" customHeight="1">
      <c r="B21" s="1126" t="str">
        <f>"MEMO:  The Carrying Charge Calculations on lines "&amp;B27&amp;" to "&amp;B34&amp;" below are used in calculating project revenue requirements billed through PJM Schedule 12, Transmission Enhancement Charges.  The total non-incentive revenue requirements for these projects shown on line "&amp;B24&amp;" is included in the total on line "&amp;B18&amp;"."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1" s="1126"/>
      <c r="D21" s="1126"/>
      <c r="E21" s="1126"/>
      <c r="F21" s="1126"/>
      <c r="G21" s="1126"/>
      <c r="H21" s="1126"/>
      <c r="I21" s="1126"/>
    </row>
    <row r="22" spans="2:13" ht="35.25" customHeight="1">
      <c r="B22" s="1126"/>
      <c r="C22" s="1126"/>
      <c r="D22" s="1126"/>
      <c r="E22" s="1126"/>
      <c r="F22" s="1126"/>
      <c r="G22" s="1126"/>
      <c r="H22" s="1126"/>
      <c r="I22" s="1126"/>
    </row>
    <row r="23" spans="2:13" ht="15" customHeight="1">
      <c r="B23" s="154"/>
      <c r="C23" s="154"/>
      <c r="D23" s="154"/>
      <c r="E23" s="154"/>
      <c r="F23" s="154"/>
      <c r="G23" s="154"/>
      <c r="H23" s="154"/>
      <c r="I23" s="154"/>
    </row>
    <row r="24" spans="2:13">
      <c r="B24" s="136">
        <f>+B18+1</f>
        <v>5</v>
      </c>
      <c r="C24" s="137"/>
      <c r="D24" s="132" t="s">
        <v>548</v>
      </c>
      <c r="E24" s="146"/>
      <c r="F24" s="135"/>
      <c r="G24" s="906">
        <f>+'WS J PROJECTED RTEP RR'!M26</f>
        <v>39168368.132870525</v>
      </c>
      <c r="H24" s="135"/>
      <c r="I24" s="149" t="s">
        <v>420</v>
      </c>
      <c r="J24" s="150">
        <v>1</v>
      </c>
      <c r="K24" s="131"/>
      <c r="L24" s="151">
        <f>+J24*G24</f>
        <v>39168368.132870525</v>
      </c>
      <c r="M24" s="131"/>
    </row>
    <row r="25" spans="2:13">
      <c r="B25" s="136"/>
      <c r="C25" s="137"/>
      <c r="D25" s="132"/>
      <c r="E25" s="146"/>
      <c r="F25" s="135"/>
      <c r="G25" s="148"/>
      <c r="H25" s="135"/>
      <c r="I25" s="135"/>
      <c r="J25" s="150"/>
      <c r="K25" s="131"/>
      <c r="L25" s="151"/>
      <c r="M25" s="131"/>
    </row>
    <row r="26" spans="2:13">
      <c r="B26" s="136">
        <f>+B24+1</f>
        <v>6</v>
      </c>
      <c r="C26" s="137"/>
      <c r="D26" s="132" t="s">
        <v>168</v>
      </c>
      <c r="E26" s="146"/>
      <c r="F26" s="131"/>
      <c r="G26" s="155"/>
      <c r="H26" s="131"/>
      <c r="J26" s="131"/>
      <c r="K26" s="131"/>
      <c r="M26" s="131"/>
    </row>
    <row r="27" spans="2:13">
      <c r="B27" s="136">
        <f>B26+1</f>
        <v>7</v>
      </c>
      <c r="C27" s="137"/>
      <c r="D27" s="131" t="s">
        <v>41</v>
      </c>
      <c r="E27" s="131" t="str">
        <f>"( (ln "&amp;B13&amp;"- ln "&amp;B157&amp;")/((ln "&amp;$B$83&amp;" ) x 100) )"</f>
        <v>( (ln 1- ln 80)/((ln 33 ) x 100) )</v>
      </c>
      <c r="F27" s="137"/>
      <c r="G27" s="137"/>
      <c r="H27" s="137"/>
      <c r="I27" s="156"/>
      <c r="J27" s="156"/>
      <c r="K27" s="156"/>
      <c r="L27" s="157">
        <f>IF((L83)=0,0,(L13-L157)/(L83))</f>
        <v>0.1842670097266306</v>
      </c>
      <c r="M27" s="131"/>
    </row>
    <row r="28" spans="2:13">
      <c r="B28" s="136">
        <f>B27+1</f>
        <v>8</v>
      </c>
      <c r="C28" s="137"/>
      <c r="D28" s="131" t="s">
        <v>42</v>
      </c>
      <c r="E28" s="131" t="str">
        <f>"(ln "&amp;B27&amp;" / 12)"</f>
        <v>(ln 7 / 12)</v>
      </c>
      <c r="F28" s="137"/>
      <c r="G28" s="137"/>
      <c r="H28" s="137"/>
      <c r="I28" s="156"/>
      <c r="J28" s="156"/>
      <c r="K28" s="156"/>
      <c r="L28" s="157">
        <f>L27/12</f>
        <v>1.5355584143885883E-2</v>
      </c>
      <c r="M28" s="131"/>
    </row>
    <row r="29" spans="2:13">
      <c r="B29" s="136"/>
      <c r="C29" s="137"/>
      <c r="D29" s="131"/>
      <c r="E29" s="131"/>
      <c r="F29" s="137"/>
      <c r="G29" s="137"/>
      <c r="H29" s="137"/>
      <c r="I29" s="156"/>
      <c r="J29" s="156"/>
      <c r="K29" s="156"/>
      <c r="L29" s="157"/>
      <c r="M29" s="131"/>
    </row>
    <row r="30" spans="2:13">
      <c r="B30" s="136">
        <f>B28+1</f>
        <v>9</v>
      </c>
      <c r="C30" s="137"/>
      <c r="D30" s="132" t="str">
        <f>"NET PLANT CARRYING CHARGE ON LINE "&amp;B27&amp;" , w/o depreciation or ROE incentives (Note B)"</f>
        <v>NET PLANT CARRYING CHARGE ON LINE 7 , w/o depreciation or ROE incentives (Note B)</v>
      </c>
      <c r="E30" s="131"/>
      <c r="F30" s="137"/>
      <c r="G30" s="137"/>
      <c r="H30" s="137"/>
      <c r="I30" s="156"/>
      <c r="J30" s="156"/>
      <c r="K30" s="156"/>
      <c r="L30" s="157"/>
      <c r="M30" s="131"/>
    </row>
    <row r="31" spans="2:13">
      <c r="B31" s="136">
        <f>B30+1</f>
        <v>10</v>
      </c>
      <c r="C31" s="137"/>
      <c r="D31" s="131" t="s">
        <v>41</v>
      </c>
      <c r="E31" s="131" t="str">
        <f>"( (ln "&amp;B13&amp;"- ln "&amp;B157&amp;" - ln "&amp;B161&amp;")/((ln "&amp;$B$83&amp;") x 100) )"</f>
        <v>( (ln 1- ln 80 - ln 83)/((ln 33) x 100) )</v>
      </c>
      <c r="F31" s="137"/>
      <c r="G31" s="137"/>
      <c r="H31" s="137"/>
      <c r="I31" s="156"/>
      <c r="J31" s="156"/>
      <c r="K31" s="156"/>
      <c r="L31" s="157">
        <f>IF(L83=0,0,(L13-L157-L161)/L83)</f>
        <v>0.14912278949438812</v>
      </c>
      <c r="M31" s="131"/>
    </row>
    <row r="32" spans="2:13">
      <c r="B32" s="136"/>
      <c r="C32" s="137"/>
      <c r="D32" s="131"/>
      <c r="E32" s="131"/>
      <c r="F32" s="137"/>
      <c r="G32" s="137"/>
      <c r="H32" s="137"/>
      <c r="I32" s="156"/>
      <c r="J32" s="156"/>
      <c r="K32" s="156"/>
      <c r="L32" s="157"/>
      <c r="M32" s="131"/>
    </row>
    <row r="33" spans="2:13">
      <c r="B33" s="136">
        <f>B31+1</f>
        <v>11</v>
      </c>
      <c r="C33" s="137"/>
      <c r="D33" s="132" t="str">
        <f>"NET PLANT CARRYING CHARGE ON LINE "&amp;B31&amp;", w/o Return, income taxes or ROE incentives (Note B)"</f>
        <v>NET PLANT CARRYING CHARGE ON LINE 10, w/o Return, income taxes or ROE incentives (Note B)</v>
      </c>
      <c r="E33" s="131"/>
      <c r="F33" s="41"/>
      <c r="G33" s="41"/>
      <c r="H33" s="41"/>
      <c r="I33" s="41"/>
      <c r="J33" s="41"/>
      <c r="K33" s="41"/>
      <c r="L33" s="41"/>
      <c r="M33"/>
    </row>
    <row r="34" spans="2:13">
      <c r="B34" s="136">
        <f>B33+1</f>
        <v>12</v>
      </c>
      <c r="C34" s="137"/>
      <c r="D34" s="131" t="s">
        <v>41</v>
      </c>
      <c r="E34" s="131" t="str">
        <f>"( (ln "&amp;B13&amp;" - ln "&amp;B157&amp;" - ln "&amp;B161&amp;" - ln "&amp;B189&amp;" - ln "&amp;B191&amp;") /((ln "&amp;$B$83&amp;") x 100) )"</f>
        <v>( (ln 1 - ln 80 - ln 83 - ln 108 - ln 109) /((ln 33) x 100) )</v>
      </c>
      <c r="F34" s="41"/>
      <c r="G34" s="41"/>
      <c r="H34" s="41"/>
      <c r="I34" s="41"/>
      <c r="J34" s="41"/>
      <c r="K34" s="41"/>
      <c r="L34" s="158">
        <f>IF(L83=0,0,(L13-L157-L161-L189-L191)/L83)</f>
        <v>6.4042255781805391E-2</v>
      </c>
      <c r="M34"/>
    </row>
    <row r="35" spans="2:13">
      <c r="B35" s="136"/>
      <c r="C35" s="137"/>
      <c r="D35" s="131"/>
      <c r="E35" s="131"/>
      <c r="F35" s="137"/>
      <c r="G35" s="137"/>
      <c r="H35" s="137"/>
      <c r="I35" s="156"/>
      <c r="J35" s="156"/>
      <c r="K35" s="156"/>
      <c r="L35" s="157"/>
      <c r="M35" s="159"/>
    </row>
    <row r="36" spans="2:13">
      <c r="B36" s="136">
        <f>B34+1</f>
        <v>13</v>
      </c>
      <c r="C36" s="137"/>
      <c r="D36" s="132" t="s">
        <v>549</v>
      </c>
      <c r="E36" s="131"/>
      <c r="F36" s="137"/>
      <c r="G36" s="137"/>
      <c r="H36" s="137"/>
      <c r="I36" s="156"/>
      <c r="J36" s="156"/>
      <c r="K36" s="156"/>
      <c r="L36" s="294">
        <f>+'WS J PROJECTED RTEP RR'!O26</f>
        <v>0</v>
      </c>
      <c r="M36" s="131"/>
    </row>
    <row r="37" spans="2:13">
      <c r="B37" s="136"/>
      <c r="C37" s="137"/>
      <c r="E37" s="131"/>
      <c r="F37" s="137"/>
      <c r="G37" s="137"/>
      <c r="H37" s="137"/>
      <c r="I37" s="156"/>
      <c r="J37" s="156"/>
      <c r="K37" s="156"/>
      <c r="L37" s="157"/>
      <c r="M37" s="131"/>
    </row>
    <row r="38" spans="2:13">
      <c r="B38" s="126"/>
      <c r="C38" s="137"/>
      <c r="E38" s="131"/>
      <c r="F38" s="137"/>
      <c r="G38" s="137"/>
      <c r="H38" s="137"/>
      <c r="I38" s="156"/>
      <c r="J38" s="156"/>
      <c r="K38" s="156"/>
      <c r="L38" s="157"/>
      <c r="M38" s="131"/>
    </row>
    <row r="39" spans="2:13" ht="15.75">
      <c r="B39" s="136">
        <f>+B36+1</f>
        <v>14</v>
      </c>
      <c r="C39" s="137"/>
      <c r="D39" s="1132" t="s">
        <v>207</v>
      </c>
      <c r="E39" s="1132"/>
      <c r="F39" s="1132"/>
      <c r="G39" s="1132"/>
      <c r="H39" s="1132"/>
      <c r="I39" s="1132"/>
      <c r="J39" s="1132"/>
      <c r="K39" s="1132"/>
      <c r="L39" s="1132"/>
      <c r="M39" s="131"/>
    </row>
    <row r="40" spans="2:13">
      <c r="B40" s="136"/>
      <c r="C40" s="137"/>
      <c r="E40" s="131"/>
      <c r="F40" s="137"/>
      <c r="G40" s="137"/>
      <c r="H40" s="137"/>
      <c r="I40" s="156"/>
      <c r="J40" s="156"/>
      <c r="K40" s="156"/>
      <c r="L40" s="157"/>
      <c r="M40" s="131"/>
    </row>
    <row r="41" spans="2:13">
      <c r="B41" s="136">
        <f>+B39+1</f>
        <v>15</v>
      </c>
      <c r="C41" s="137"/>
      <c r="D41" s="132" t="s">
        <v>209</v>
      </c>
      <c r="E41" s="131" t="str">
        <f>"Line "&amp;B137&amp;" Below"</f>
        <v>Line 63 Below</v>
      </c>
      <c r="F41" s="137"/>
      <c r="H41" s="137"/>
      <c r="I41" s="156"/>
      <c r="J41" s="156"/>
      <c r="K41" s="156"/>
      <c r="L41" s="160">
        <f>+G137</f>
        <v>1630135.7149140644</v>
      </c>
      <c r="M41" s="131"/>
    </row>
    <row r="42" spans="2:13">
      <c r="B42" s="136">
        <f>+B41+1</f>
        <v>16</v>
      </c>
      <c r="C42" s="137"/>
      <c r="D42" s="132" t="s">
        <v>274</v>
      </c>
      <c r="E42" s="131"/>
      <c r="F42" s="137"/>
      <c r="H42" s="137"/>
      <c r="I42" s="156"/>
      <c r="J42" s="156"/>
      <c r="K42" s="156"/>
      <c r="L42" s="116">
        <f>'WS F Misc Exp'!D28</f>
        <v>0</v>
      </c>
      <c r="M42" s="131"/>
    </row>
    <row r="43" spans="2:13">
      <c r="B43" s="136">
        <f>+B42+1</f>
        <v>17</v>
      </c>
      <c r="C43" s="137"/>
      <c r="D43" s="132" t="s">
        <v>275</v>
      </c>
      <c r="E43" s="131"/>
      <c r="F43" s="137"/>
      <c r="H43" s="137"/>
      <c r="I43" s="156"/>
      <c r="J43" s="156"/>
      <c r="K43" s="156"/>
      <c r="L43" s="116">
        <f>'WS F Misc Exp'!D32</f>
        <v>0</v>
      </c>
      <c r="M43" s="131"/>
    </row>
    <row r="44" spans="2:13">
      <c r="B44" s="136"/>
      <c r="C44" s="137"/>
      <c r="E44" s="131"/>
      <c r="F44" s="137"/>
      <c r="H44" s="137"/>
      <c r="I44" s="156"/>
      <c r="J44" s="156"/>
      <c r="K44" s="156"/>
      <c r="L44" s="137"/>
      <c r="M44" s="131"/>
    </row>
    <row r="45" spans="2:13" ht="15.75" thickBot="1">
      <c r="B45" s="136">
        <f>+B43+1</f>
        <v>18</v>
      </c>
      <c r="C45" s="137"/>
      <c r="D45" s="132" t="s">
        <v>208</v>
      </c>
      <c r="E45" s="144" t="str">
        <f>"(Line "&amp;B41&amp;" - Line "&amp;B42&amp;" - Line "&amp;B43&amp;")"</f>
        <v>(Line 15 - Line 16 - Line 17)</v>
      </c>
      <c r="F45" s="137"/>
      <c r="H45" s="137"/>
      <c r="I45" s="156"/>
      <c r="J45" s="156"/>
      <c r="K45" s="156"/>
      <c r="L45" s="161">
        <f>+L41-L42-L43</f>
        <v>1630135.7149140644</v>
      </c>
      <c r="M45" s="131"/>
    </row>
    <row r="46" spans="2:13" ht="15.75" thickTop="1">
      <c r="B46" s="136"/>
      <c r="C46" s="137"/>
      <c r="E46" s="131"/>
      <c r="F46" s="137"/>
      <c r="G46" s="137"/>
      <c r="H46" s="137"/>
      <c r="I46" s="156"/>
      <c r="J46" s="156"/>
      <c r="K46" s="156"/>
      <c r="L46" s="157"/>
      <c r="M46" s="131"/>
    </row>
    <row r="47" spans="2:13">
      <c r="B47" s="136"/>
      <c r="C47" s="137"/>
      <c r="E47" s="131"/>
      <c r="F47" s="137"/>
      <c r="G47" s="137"/>
      <c r="H47" s="137"/>
      <c r="I47" s="156"/>
      <c r="J47" s="156"/>
      <c r="K47" s="156"/>
      <c r="L47" s="157"/>
      <c r="M47" s="131"/>
    </row>
    <row r="48" spans="2:13">
      <c r="B48" s="136"/>
      <c r="C48" s="137"/>
      <c r="E48" s="131"/>
      <c r="F48" s="137"/>
      <c r="G48" s="137"/>
      <c r="H48" s="137"/>
      <c r="I48" s="156"/>
      <c r="J48" s="156"/>
      <c r="K48" s="156"/>
      <c r="L48" s="157"/>
      <c r="M48" s="131"/>
    </row>
    <row r="49" spans="2:16">
      <c r="D49" s="131"/>
      <c r="E49" s="131"/>
      <c r="G49" s="144"/>
      <c r="H49" s="131"/>
      <c r="I49" s="131"/>
      <c r="J49" s="131"/>
      <c r="K49" s="131"/>
      <c r="L49" s="131"/>
      <c r="M49" s="162"/>
    </row>
    <row r="50" spans="2:16">
      <c r="D50" s="131"/>
      <c r="E50" s="131"/>
      <c r="F50" s="137"/>
      <c r="G50" s="144"/>
      <c r="H50" s="131"/>
      <c r="I50" s="131"/>
      <c r="J50" s="131"/>
      <c r="K50" s="131"/>
      <c r="L50" s="131"/>
      <c r="M50" s="162"/>
      <c r="P50" s="163"/>
    </row>
    <row r="51" spans="2:16">
      <c r="D51" s="131"/>
      <c r="E51" s="131"/>
      <c r="F51" s="137" t="str">
        <f>F5</f>
        <v>AEPTCo subsidiaries in PJM</v>
      </c>
      <c r="G51" s="144"/>
      <c r="H51" s="131"/>
      <c r="I51" s="131"/>
      <c r="J51" s="131"/>
      <c r="K51" s="131"/>
      <c r="L51" s="131"/>
      <c r="M51" s="162"/>
      <c r="P51" s="163"/>
    </row>
    <row r="52" spans="2:16">
      <c r="D52" s="131"/>
      <c r="E52" s="135"/>
      <c r="F52" s="137" t="str">
        <f>F6</f>
        <v>Transmission Cost of Service Formula Rate</v>
      </c>
      <c r="G52" s="135"/>
      <c r="H52" s="135"/>
      <c r="I52" s="135"/>
      <c r="J52" s="135"/>
      <c r="K52" s="135"/>
      <c r="L52" s="135"/>
      <c r="M52" s="164"/>
      <c r="P52" s="165"/>
    </row>
    <row r="53" spans="2:16">
      <c r="D53" s="131"/>
      <c r="E53" s="135"/>
      <c r="F53" s="149" t="str">
        <f>F7</f>
        <v>Utilizing  Actual/Projected FERC Form 1 Data</v>
      </c>
      <c r="G53" s="135"/>
      <c r="H53" s="135"/>
      <c r="I53" s="135"/>
      <c r="J53" s="135"/>
      <c r="K53" s="135"/>
      <c r="L53" s="135"/>
      <c r="M53" s="166"/>
      <c r="P53" s="165"/>
    </row>
    <row r="54" spans="2:16">
      <c r="D54" s="131"/>
      <c r="E54" s="135"/>
      <c r="F54" s="137"/>
      <c r="G54" s="135"/>
      <c r="H54" s="135"/>
      <c r="I54" s="135"/>
      <c r="J54" s="135"/>
      <c r="K54" s="135"/>
      <c r="L54" s="135"/>
      <c r="M54" s="135"/>
      <c r="P54" s="165"/>
    </row>
    <row r="55" spans="2:16">
      <c r="D55" s="131"/>
      <c r="E55" s="135"/>
      <c r="F55" s="137" t="str">
        <f>F9</f>
        <v>AEP Ohio Transmission Company</v>
      </c>
      <c r="G55" s="135"/>
      <c r="H55" s="135"/>
      <c r="I55" s="135"/>
      <c r="J55" s="135"/>
      <c r="K55" s="135"/>
      <c r="L55" s="135"/>
      <c r="M55" s="135"/>
      <c r="P55" s="165"/>
    </row>
    <row r="56" spans="2:16">
      <c r="D56" s="131"/>
      <c r="E56" s="149"/>
      <c r="F56" s="149"/>
      <c r="G56" s="149"/>
      <c r="H56" s="149"/>
      <c r="I56" s="149"/>
      <c r="J56" s="149"/>
      <c r="K56" s="149"/>
      <c r="L56" s="135"/>
      <c r="M56" s="135"/>
      <c r="P56" s="165"/>
    </row>
    <row r="57" spans="2:16">
      <c r="D57" s="137" t="s">
        <v>413</v>
      </c>
      <c r="E57" s="137" t="s">
        <v>414</v>
      </c>
      <c r="F57" s="137"/>
      <c r="G57" s="137" t="s">
        <v>415</v>
      </c>
      <c r="H57" s="135" t="s">
        <v>406</v>
      </c>
      <c r="I57" s="1127" t="s">
        <v>416</v>
      </c>
      <c r="J57" s="1128"/>
      <c r="K57" s="135"/>
      <c r="L57" s="138" t="s">
        <v>417</v>
      </c>
      <c r="M57" s="135"/>
    </row>
    <row r="58" spans="2:16">
      <c r="B58" s="126"/>
      <c r="D58" s="41"/>
      <c r="E58" s="41"/>
      <c r="F58" s="41"/>
      <c r="G58" s="160"/>
      <c r="H58" s="135"/>
      <c r="I58" s="135"/>
      <c r="J58" s="168"/>
      <c r="K58" s="135"/>
      <c r="M58" s="135"/>
    </row>
    <row r="59" spans="2:16" ht="15.75">
      <c r="B59" s="169"/>
      <c r="C59" s="137"/>
      <c r="D59" s="41"/>
      <c r="E59" s="170" t="s">
        <v>386</v>
      </c>
      <c r="F59" s="171"/>
      <c r="G59" s="135"/>
      <c r="H59" s="135"/>
      <c r="I59" s="135"/>
      <c r="J59" s="137"/>
      <c r="K59" s="135"/>
      <c r="L59" s="172" t="s">
        <v>410</v>
      </c>
      <c r="M59" s="135"/>
      <c r="P59" s="163"/>
    </row>
    <row r="60" spans="2:16" ht="15.75">
      <c r="B60" s="126"/>
      <c r="C60" s="137"/>
      <c r="D60" s="173" t="s">
        <v>385</v>
      </c>
      <c r="E60" s="174" t="s">
        <v>404</v>
      </c>
      <c r="F60" s="135"/>
      <c r="G60" s="173" t="s">
        <v>372</v>
      </c>
      <c r="H60" s="175"/>
      <c r="I60" s="1129" t="s">
        <v>411</v>
      </c>
      <c r="J60" s="1130"/>
      <c r="K60" s="175"/>
      <c r="L60" s="173" t="s">
        <v>407</v>
      </c>
      <c r="M60" s="135"/>
    </row>
    <row r="61" spans="2:16">
      <c r="B61" s="136" t="str">
        <f>B11</f>
        <v>Line</v>
      </c>
      <c r="C61" s="137"/>
      <c r="D61" s="131"/>
      <c r="E61" s="135"/>
      <c r="F61" s="135"/>
      <c r="G61" s="176" t="s">
        <v>148</v>
      </c>
      <c r="H61" s="135"/>
      <c r="I61" s="135"/>
      <c r="J61" s="135"/>
      <c r="K61" s="135"/>
      <c r="L61" s="135"/>
      <c r="M61" s="135"/>
    </row>
    <row r="62" spans="2:16" ht="15.75" thickBot="1">
      <c r="B62" s="142" t="str">
        <f>B12</f>
        <v>No.</v>
      </c>
      <c r="C62" s="137"/>
      <c r="D62" s="131" t="s">
        <v>373</v>
      </c>
      <c r="E62" s="149"/>
      <c r="F62" s="149"/>
      <c r="G62" s="135"/>
      <c r="H62" s="135"/>
      <c r="I62" s="149"/>
      <c r="J62" s="135"/>
      <c r="K62" s="135"/>
      <c r="L62" s="135"/>
      <c r="M62" s="135"/>
    </row>
    <row r="63" spans="2:16">
      <c r="B63" s="136">
        <f>+B45+1</f>
        <v>19</v>
      </c>
      <c r="C63" s="178"/>
      <c r="D63" s="179" t="s">
        <v>419</v>
      </c>
      <c r="E63" s="135" t="str">
        <f>"(Worksheet A ln "&amp;'WS A - Rate Base Support'!A23&amp;"."&amp;'WS A - Rate Base Support'!C8 &amp;" &amp; Ln "&amp;B215&amp;")"</f>
        <v>(Worksheet A ln 14.(b) &amp; Ln 117)</v>
      </c>
      <c r="F63" s="180"/>
      <c r="G63" s="148">
        <f>'WS A - Rate Base Support'!C23</f>
        <v>6935189789.4374428</v>
      </c>
      <c r="H63" s="148"/>
      <c r="I63" s="203" t="s">
        <v>420</v>
      </c>
      <c r="J63" s="150"/>
      <c r="K63" s="181"/>
      <c r="L63" s="182">
        <f>+L215</f>
        <v>6935189789.4374428</v>
      </c>
      <c r="M63" s="181"/>
    </row>
    <row r="64" spans="2:16">
      <c r="B64" s="136">
        <f>+B63+1</f>
        <v>20</v>
      </c>
      <c r="C64" s="178"/>
      <c r="D64" s="131" t="s">
        <v>171</v>
      </c>
      <c r="E64" s="135" t="str">
        <f>"(Worksheet A ln "&amp;'WS A - Rate Base Support'!A23&amp;"."&amp;'WS A - Rate Base Support'!D8 &amp;")"</f>
        <v>(Worksheet A ln 14.(c))</v>
      </c>
      <c r="F64" s="180"/>
      <c r="G64" s="148">
        <f>'WS A - Rate Base Support'!D23</f>
        <v>0</v>
      </c>
      <c r="H64" s="148"/>
      <c r="I64" s="203" t="s">
        <v>412</v>
      </c>
      <c r="J64" s="150">
        <f>J140</f>
        <v>1</v>
      </c>
      <c r="K64" s="181"/>
      <c r="L64" s="182">
        <f>+G64*J64</f>
        <v>0</v>
      </c>
      <c r="M64" s="181"/>
    </row>
    <row r="65" spans="2:15">
      <c r="B65" s="136">
        <f>+B64+1</f>
        <v>21</v>
      </c>
      <c r="C65" s="178"/>
      <c r="D65" s="131" t="s">
        <v>421</v>
      </c>
      <c r="E65" s="135" t="str">
        <f>"(Worksheet A ln "&amp;'WS A - Rate Base Support'!A23&amp;"."&amp;'WS A - Rate Base Support'!E8 &amp;")"</f>
        <v>(Worksheet A ln 14.(d))</v>
      </c>
      <c r="F65" s="135"/>
      <c r="G65" s="148">
        <f>'WS A - Rate Base Support'!E23</f>
        <v>354075428.30626428</v>
      </c>
      <c r="H65" s="148"/>
      <c r="I65" s="149" t="s">
        <v>422</v>
      </c>
      <c r="J65" s="150">
        <f>L235</f>
        <v>1</v>
      </c>
      <c r="K65" s="135"/>
      <c r="L65" s="148">
        <f>+J65*G65</f>
        <v>354075428.30626428</v>
      </c>
      <c r="M65" s="135"/>
    </row>
    <row r="66" spans="2:15">
      <c r="B66" s="136">
        <f>+B65+1</f>
        <v>22</v>
      </c>
      <c r="C66" s="178"/>
      <c r="D66" s="131" t="s">
        <v>170</v>
      </c>
      <c r="E66" s="135" t="str">
        <f>"(Worksheet A ln "&amp;'WS A - Rate Base Support'!A23&amp;"."&amp;'WS A - Rate Base Support'!F8 &amp;")"</f>
        <v>(Worksheet A ln 14.(e))</v>
      </c>
      <c r="F66" s="135"/>
      <c r="G66" s="148">
        <f>'WS A - Rate Base Support'!F23</f>
        <v>0</v>
      </c>
      <c r="H66" s="148"/>
      <c r="I66" s="149" t="s">
        <v>422</v>
      </c>
      <c r="J66" s="150">
        <f>L235</f>
        <v>1</v>
      </c>
      <c r="K66" s="135"/>
      <c r="L66" s="148">
        <f>+G66*J66</f>
        <v>0</v>
      </c>
      <c r="M66" s="135"/>
    </row>
    <row r="67" spans="2:15">
      <c r="B67" s="136">
        <f>+B66+1</f>
        <v>23</v>
      </c>
      <c r="C67" s="178"/>
      <c r="D67" s="131" t="s">
        <v>423</v>
      </c>
      <c r="E67" s="135" t="str">
        <f>"(Worksheet A ln "&amp;'WS A - Rate Base Support'!A23&amp;"."&amp;'WS A - Rate Base Support'!G8 &amp;")"</f>
        <v>(Worksheet A ln 14.(f))</v>
      </c>
      <c r="F67" s="135"/>
      <c r="G67" s="148">
        <f>'WS A - Rate Base Support'!G23</f>
        <v>0</v>
      </c>
      <c r="H67" s="148"/>
      <c r="I67" s="149" t="s">
        <v>422</v>
      </c>
      <c r="J67" s="150">
        <f>L235</f>
        <v>1</v>
      </c>
      <c r="K67" s="135"/>
      <c r="L67" s="148">
        <f>+J67*G67</f>
        <v>0</v>
      </c>
      <c r="M67" s="135"/>
      <c r="N67" s="131"/>
      <c r="O67" s="131"/>
    </row>
    <row r="68" spans="2:15">
      <c r="B68" s="136"/>
      <c r="C68" s="178"/>
      <c r="D68" s="131"/>
      <c r="E68" s="135"/>
      <c r="F68" s="135"/>
      <c r="G68" s="148"/>
      <c r="H68" s="148"/>
      <c r="I68" s="149"/>
      <c r="J68" s="150"/>
      <c r="K68" s="135"/>
      <c r="L68" s="233"/>
      <c r="M68" s="135"/>
      <c r="N68" s="131"/>
      <c r="O68" s="131"/>
    </row>
    <row r="69" spans="2:15" ht="15.75" thickBot="1">
      <c r="B69" s="136"/>
      <c r="C69" s="178"/>
      <c r="D69" s="131"/>
      <c r="E69" s="135"/>
      <c r="F69" s="135"/>
      <c r="G69" s="183"/>
      <c r="H69" s="148"/>
      <c r="I69" s="149"/>
      <c r="J69" s="150"/>
      <c r="K69" s="135"/>
      <c r="L69" s="1118"/>
      <c r="M69" s="135"/>
      <c r="N69" s="131"/>
      <c r="O69" s="131"/>
    </row>
    <row r="70" spans="2:15" ht="15.75">
      <c r="B70" s="136">
        <f>+B67+1</f>
        <v>24</v>
      </c>
      <c r="C70" s="178"/>
      <c r="D70" s="131" t="s">
        <v>371</v>
      </c>
      <c r="E70" s="135" t="str">
        <f>"(Sum of Lines: "&amp;B63&amp;" to "&amp;B67&amp;")"</f>
        <v>(Sum of Lines: 19 to 23)</v>
      </c>
      <c r="F70" s="98"/>
      <c r="G70" s="148">
        <f>SUM(G63:G69)</f>
        <v>7289265217.7437067</v>
      </c>
      <c r="H70" s="148"/>
      <c r="I70" s="235" t="s">
        <v>1005</v>
      </c>
      <c r="J70" s="1111">
        <f>IF(G70=0,0,L70/G70)</f>
        <v>1</v>
      </c>
      <c r="K70" s="135"/>
      <c r="L70" s="148">
        <f>SUM(L63:L69)</f>
        <v>7289265217.7437067</v>
      </c>
      <c r="M70" s="135"/>
      <c r="N70" s="131"/>
      <c r="O70" s="131"/>
    </row>
    <row r="71" spans="2:15" ht="15.75">
      <c r="B71" s="136"/>
      <c r="C71" s="137"/>
      <c r="D71" s="131"/>
      <c r="E71" s="354"/>
      <c r="F71" s="41"/>
      <c r="G71" s="148"/>
      <c r="H71" s="148"/>
      <c r="I71" s="235" t="s">
        <v>498</v>
      </c>
      <c r="J71" s="1113">
        <f>+IF(L63=0,0,L63/(G63))</f>
        <v>1</v>
      </c>
      <c r="K71" s="135"/>
      <c r="L71" s="148"/>
      <c r="M71" s="135"/>
      <c r="N71" s="184"/>
      <c r="O71" s="131"/>
    </row>
    <row r="72" spans="2:15">
      <c r="B72" s="136">
        <f>+B70+1</f>
        <v>25</v>
      </c>
      <c r="C72" s="137"/>
      <c r="D72" s="131" t="s">
        <v>353</v>
      </c>
      <c r="E72" s="149"/>
      <c r="F72" s="149"/>
      <c r="G72" s="148"/>
      <c r="H72" s="1114"/>
      <c r="I72" s="149"/>
      <c r="J72" s="1115"/>
      <c r="K72" s="135"/>
      <c r="L72" s="148"/>
      <c r="M72" s="135"/>
      <c r="N72" s="135"/>
      <c r="O72" s="135"/>
    </row>
    <row r="73" spans="2:15" ht="15.75">
      <c r="B73" s="136">
        <f t="shared" ref="B73:B77" si="0">+B72+1</f>
        <v>26</v>
      </c>
      <c r="C73" s="178"/>
      <c r="D73" s="179" t="str">
        <f>D63</f>
        <v xml:space="preserve">  Transmission</v>
      </c>
      <c r="E73" s="135" t="str">
        <f>"(Worksheet A ln "&amp;'WS A - Rate Base Support'!A42&amp;"."&amp;'WS A - Rate Base Support'!C27 &amp;" &amp; Ln "&amp;'WS A - Rate Base Support'!A64&amp;"."&amp;'WS A - Rate Base Support'!C47&amp;")"</f>
        <v>(Worksheet A ln 28.(b) &amp; Ln 43.(b))</v>
      </c>
      <c r="F73" s="180"/>
      <c r="G73" s="182">
        <f>'WS A - Rate Base Support'!C42</f>
        <v>1179863368.2553153</v>
      </c>
      <c r="H73" s="148"/>
      <c r="I73" s="1116" t="s">
        <v>420</v>
      </c>
      <c r="J73" s="185">
        <f>IF(G73=0,1,L73/G73)</f>
        <v>1</v>
      </c>
      <c r="K73" s="181"/>
      <c r="L73" s="148">
        <f>'WS A - Rate Base Support'!C64</f>
        <v>1179863368.2553153</v>
      </c>
      <c r="M73" s="181"/>
      <c r="N73" s="135"/>
      <c r="O73" s="135"/>
    </row>
    <row r="74" spans="2:15" ht="15.75">
      <c r="B74" s="136">
        <f t="shared" si="0"/>
        <v>27</v>
      </c>
      <c r="C74" s="178"/>
      <c r="D74" s="131" t="s">
        <v>171</v>
      </c>
      <c r="E74" s="135" t="str">
        <f>"(Worksheet A ln "&amp;'WS A - Rate Base Support'!A42&amp;"."&amp;'WS A - Rate Base Support'!D27 &amp;")"</f>
        <v>(Worksheet A ln 28.(c))</v>
      </c>
      <c r="F74" s="180"/>
      <c r="G74" s="148">
        <f>'WS A - Rate Base Support'!D42</f>
        <v>0</v>
      </c>
      <c r="H74" s="148"/>
      <c r="I74" s="1116" t="s">
        <v>412</v>
      </c>
      <c r="J74" s="150">
        <f>IF(I74="TP",L217,L73/G73)</f>
        <v>1</v>
      </c>
      <c r="K74" s="181"/>
      <c r="L74" s="148">
        <f>+J74*G74</f>
        <v>0</v>
      </c>
      <c r="M74" s="181"/>
      <c r="N74" s="135"/>
      <c r="O74" s="135"/>
    </row>
    <row r="75" spans="2:15">
      <c r="B75" s="136">
        <f t="shared" si="0"/>
        <v>28</v>
      </c>
      <c r="C75" s="178"/>
      <c r="D75" s="131" t="str">
        <f>+D65</f>
        <v xml:space="preserve">  General Plant   </v>
      </c>
      <c r="E75" s="135" t="str">
        <f>"(Worksheet A ln "&amp;'WS A - Rate Base Support'!A42&amp;"."&amp;'WS A - Rate Base Support'!E27 &amp;")"</f>
        <v>(Worksheet A ln 28.(d))</v>
      </c>
      <c r="F75" s="135"/>
      <c r="G75" s="148">
        <f>'WS A - Rate Base Support'!E42</f>
        <v>67150197.309249222</v>
      </c>
      <c r="H75" s="148"/>
      <c r="I75" s="149" t="s">
        <v>422</v>
      </c>
      <c r="J75" s="150">
        <f>L235</f>
        <v>1</v>
      </c>
      <c r="K75" s="135"/>
      <c r="L75" s="148">
        <f>+J75*G75</f>
        <v>67150197.309249222</v>
      </c>
      <c r="M75" s="135"/>
      <c r="N75" s="135"/>
      <c r="O75" s="135"/>
    </row>
    <row r="76" spans="2:15">
      <c r="B76" s="136">
        <f t="shared" si="0"/>
        <v>29</v>
      </c>
      <c r="C76" s="178"/>
      <c r="D76" s="131" t="s">
        <v>170</v>
      </c>
      <c r="E76" s="135" t="str">
        <f>"(Worksheet A ln "&amp;'WS A - Rate Base Support'!A42&amp;"."&amp;'WS A - Rate Base Support'!F27 &amp;")"</f>
        <v>(Worksheet A ln 28.(e))</v>
      </c>
      <c r="F76" s="135"/>
      <c r="G76" s="148">
        <f>'WS A - Rate Base Support'!F42</f>
        <v>0</v>
      </c>
      <c r="H76" s="148"/>
      <c r="I76" s="149" t="s">
        <v>422</v>
      </c>
      <c r="J76" s="150">
        <f>L235</f>
        <v>1</v>
      </c>
      <c r="K76" s="135"/>
      <c r="L76" s="148">
        <f>+J76*G76</f>
        <v>0</v>
      </c>
      <c r="M76" s="135"/>
      <c r="N76" s="135"/>
      <c r="O76" s="135"/>
    </row>
    <row r="77" spans="2:15">
      <c r="B77" s="136">
        <f t="shared" si="0"/>
        <v>30</v>
      </c>
      <c r="C77" s="178"/>
      <c r="D77" s="131" t="str">
        <f>+D67</f>
        <v xml:space="preserve">  Intangible Plant</v>
      </c>
      <c r="E77" s="135" t="str">
        <f>"(Worksheet A ln "&amp;'WS A - Rate Base Support'!A42&amp;"."&amp;'WS A - Rate Base Support'!G27 &amp;")"</f>
        <v>(Worksheet A ln 28.(f))</v>
      </c>
      <c r="F77" s="135"/>
      <c r="G77" s="148">
        <f>'WS A - Rate Base Support'!G42</f>
        <v>0</v>
      </c>
      <c r="H77" s="148"/>
      <c r="I77" s="149" t="s">
        <v>422</v>
      </c>
      <c r="J77" s="150">
        <f>L235</f>
        <v>1</v>
      </c>
      <c r="K77" s="135"/>
      <c r="L77" s="1117">
        <f>+J77*G77</f>
        <v>0</v>
      </c>
      <c r="M77" s="135"/>
      <c r="N77" s="135"/>
      <c r="O77" s="135"/>
    </row>
    <row r="78" spans="2:15">
      <c r="B78" s="136"/>
      <c r="C78" s="178"/>
      <c r="D78" s="131"/>
      <c r="E78" s="135"/>
      <c r="F78" s="135"/>
      <c r="G78" s="148"/>
      <c r="H78" s="148"/>
      <c r="I78" s="149"/>
      <c r="J78" s="150"/>
      <c r="K78" s="135"/>
      <c r="L78" s="233"/>
      <c r="M78" s="135"/>
      <c r="N78" s="135"/>
      <c r="O78" s="135"/>
    </row>
    <row r="79" spans="2:15" ht="15.75" thickBot="1">
      <c r="B79" s="136"/>
      <c r="C79" s="178"/>
      <c r="D79" s="131"/>
      <c r="E79" s="135"/>
      <c r="F79" s="135"/>
      <c r="G79" s="183"/>
      <c r="H79" s="148"/>
      <c r="I79" s="149"/>
      <c r="J79" s="150"/>
      <c r="K79" s="135"/>
      <c r="L79" s="1118"/>
      <c r="M79" s="135"/>
      <c r="N79" s="135"/>
      <c r="O79" s="135"/>
    </row>
    <row r="80" spans="2:15">
      <c r="B80" s="136">
        <f>+B77+1</f>
        <v>31</v>
      </c>
      <c r="C80" s="178"/>
      <c r="D80" s="131" t="s">
        <v>370</v>
      </c>
      <c r="E80" s="135" t="str">
        <f>"(Sum of Lines: "&amp;B73&amp;" to "&amp;B77&amp;")"</f>
        <v>(Sum of Lines: 26 to 30)</v>
      </c>
      <c r="F80" s="1112"/>
      <c r="G80" s="148">
        <f>SUM(G73:G79)</f>
        <v>1247013565.5645645</v>
      </c>
      <c r="H80" s="148"/>
      <c r="I80" s="149"/>
      <c r="J80" s="135"/>
      <c r="K80" s="148"/>
      <c r="L80" s="148">
        <f>SUM(L73:L79)</f>
        <v>1247013565.5645645</v>
      </c>
      <c r="M80" s="135"/>
      <c r="N80" s="135"/>
      <c r="O80" s="135"/>
    </row>
    <row r="81" spans="2:15">
      <c r="B81" s="136"/>
      <c r="C81" s="137"/>
      <c r="E81" s="1119"/>
      <c r="F81" s="186"/>
      <c r="G81" s="148"/>
      <c r="H81" s="148"/>
      <c r="I81" s="149"/>
      <c r="J81" s="187"/>
      <c r="K81" s="135"/>
      <c r="L81" s="148"/>
      <c r="M81" s="135"/>
      <c r="N81" s="135"/>
      <c r="O81" s="135"/>
    </row>
    <row r="82" spans="2:15">
      <c r="B82" s="136">
        <f>+B80+1</f>
        <v>32</v>
      </c>
      <c r="C82" s="137"/>
      <c r="D82" s="131" t="s">
        <v>374</v>
      </c>
      <c r="E82" s="149"/>
      <c r="F82" s="149"/>
      <c r="G82" s="148"/>
      <c r="H82" s="148"/>
      <c r="I82" s="149"/>
      <c r="J82" s="135"/>
      <c r="K82" s="135"/>
      <c r="L82" s="148"/>
      <c r="M82" s="135"/>
      <c r="N82" s="135"/>
      <c r="O82" s="135"/>
    </row>
    <row r="83" spans="2:15">
      <c r="B83" s="188">
        <f>+B82+1</f>
        <v>33</v>
      </c>
      <c r="C83" s="178"/>
      <c r="D83" s="131" t="str">
        <f>+D73</f>
        <v xml:space="preserve">  Transmission</v>
      </c>
      <c r="E83" s="135" t="str">
        <f>" (ln "&amp;B63&amp;" + ln "&amp;B64&amp;" - ln "&amp;B73&amp;" - ln "&amp;B74&amp;")"</f>
        <v xml:space="preserve"> (ln 19 + ln 20 - ln 26 - ln 27)</v>
      </c>
      <c r="F83" s="135"/>
      <c r="G83" s="148">
        <f>+G63+G64-G73-G74</f>
        <v>5755326421.182127</v>
      </c>
      <c r="H83" s="148"/>
      <c r="I83" s="149"/>
      <c r="J83" s="185"/>
      <c r="K83" s="135"/>
      <c r="L83" s="148">
        <f>+L63+L64-L73-L74</f>
        <v>5755326421.182127</v>
      </c>
      <c r="M83" s="135"/>
      <c r="N83" s="135"/>
      <c r="O83" s="135"/>
    </row>
    <row r="84" spans="2:15">
      <c r="B84" s="136">
        <f>+B83+1</f>
        <v>34</v>
      </c>
      <c r="C84" s="178"/>
      <c r="D84" s="131" t="str">
        <f>+D75</f>
        <v xml:space="preserve">  General Plant   </v>
      </c>
      <c r="E84" s="135" t="str">
        <f>" (ln "&amp;B65&amp;" + ln "&amp;B66&amp;" - ln "&amp;B75&amp;" - ln "&amp;B76&amp;")"</f>
        <v xml:space="preserve"> (ln 21 + ln 22 - ln 28 - ln 29)</v>
      </c>
      <c r="F84" s="135"/>
      <c r="G84" s="148">
        <f>+G65+G66-G75-G76</f>
        <v>286925230.99701506</v>
      </c>
      <c r="H84" s="148"/>
      <c r="I84" s="149"/>
      <c r="J84" s="187"/>
      <c r="K84" s="135"/>
      <c r="L84" s="148">
        <f>+L65+L66-L75-L76</f>
        <v>286925230.99701506</v>
      </c>
      <c r="M84" s="135"/>
      <c r="N84" s="135"/>
      <c r="O84" s="135"/>
    </row>
    <row r="85" spans="2:15">
      <c r="B85" s="136">
        <f>+B84+1</f>
        <v>35</v>
      </c>
      <c r="C85" s="178"/>
      <c r="D85" s="131" t="str">
        <f>+D77</f>
        <v xml:space="preserve">  Intangible Plant</v>
      </c>
      <c r="E85" s="135" t="str">
        <f>" (ln "&amp;B67&amp;" - ln "&amp;B77&amp;")"</f>
        <v xml:space="preserve"> (ln 23 - ln 30)</v>
      </c>
      <c r="F85" s="135"/>
      <c r="G85" s="148">
        <f>+G67-G77</f>
        <v>0</v>
      </c>
      <c r="H85" s="148"/>
      <c r="I85" s="149"/>
      <c r="J85" s="187"/>
      <c r="K85" s="135"/>
      <c r="L85" s="148">
        <f>+L67-L77</f>
        <v>0</v>
      </c>
      <c r="M85" s="135"/>
      <c r="N85" s="135"/>
      <c r="O85" s="135"/>
    </row>
    <row r="86" spans="2:15" ht="15.75" thickBot="1">
      <c r="B86" s="136"/>
      <c r="C86" s="178"/>
      <c r="D86" s="131"/>
      <c r="E86" s="135"/>
      <c r="F86" s="1107"/>
      <c r="G86" s="183"/>
      <c r="H86" s="148"/>
      <c r="I86" s="149"/>
      <c r="J86" s="187"/>
      <c r="K86" s="135"/>
      <c r="L86" s="183"/>
      <c r="M86" s="135"/>
      <c r="N86" s="135"/>
      <c r="O86" s="135"/>
    </row>
    <row r="87" spans="2:15" ht="15.75">
      <c r="B87" s="136">
        <f>+B85+1</f>
        <v>36</v>
      </c>
      <c r="C87" s="178"/>
      <c r="D87" s="131" t="s">
        <v>369</v>
      </c>
      <c r="E87" s="135" t="str">
        <f>"(Sum of Lines: "&amp;B83&amp;" to "&amp;B85&amp;")"</f>
        <v>(Sum of Lines: 33 to 35)</v>
      </c>
      <c r="F87" s="135"/>
      <c r="G87" s="148">
        <f>SUM(G83:G86)</f>
        <v>6042251652.179142</v>
      </c>
      <c r="H87" s="148"/>
      <c r="I87" s="189" t="s">
        <v>1006</v>
      </c>
      <c r="J87" s="1111">
        <f>IF(G87=0,0,+L87/G87)</f>
        <v>1</v>
      </c>
      <c r="K87" s="135"/>
      <c r="L87" s="148">
        <f>SUM(L83:L86)</f>
        <v>6042251652.179142</v>
      </c>
      <c r="M87" s="135"/>
      <c r="N87" s="135"/>
      <c r="O87" s="135"/>
    </row>
    <row r="88" spans="2:15">
      <c r="B88" s="136"/>
      <c r="C88" s="137"/>
      <c r="D88" s="131"/>
      <c r="E88" s="135"/>
      <c r="F88" s="135"/>
      <c r="G88" s="148"/>
      <c r="H88" s="148"/>
      <c r="J88" s="190"/>
      <c r="K88" s="135"/>
      <c r="L88" s="148"/>
      <c r="M88" s="135"/>
      <c r="N88" s="135"/>
      <c r="O88" s="135"/>
    </row>
    <row r="89" spans="2:15">
      <c r="B89" s="136"/>
      <c r="C89" s="137"/>
      <c r="G89" s="41"/>
      <c r="H89" s="41"/>
      <c r="I89" s="41"/>
      <c r="J89" s="41"/>
      <c r="K89" s="41"/>
      <c r="L89" s="41"/>
      <c r="M89"/>
      <c r="N89" s="135"/>
      <c r="O89" s="135"/>
    </row>
    <row r="90" spans="2:15">
      <c r="B90" s="136">
        <f>+B87+1</f>
        <v>37</v>
      </c>
      <c r="C90" s="137"/>
      <c r="D90" s="131" t="s">
        <v>121</v>
      </c>
      <c r="E90" s="135" t="s">
        <v>98</v>
      </c>
      <c r="F90" s="149"/>
      <c r="G90" s="41"/>
      <c r="H90" s="41"/>
      <c r="I90" s="41"/>
      <c r="J90" s="41"/>
      <c r="K90" s="41"/>
      <c r="L90" s="41"/>
      <c r="M90"/>
      <c r="N90" s="135"/>
      <c r="O90" s="135"/>
    </row>
    <row r="91" spans="2:15">
      <c r="B91" s="136">
        <f t="shared" ref="B91:B96" si="1">+B90+1</f>
        <v>38</v>
      </c>
      <c r="C91" s="178"/>
      <c r="D91" s="131" t="s">
        <v>475</v>
      </c>
      <c r="E91" s="135" t="str">
        <f>"(Worksheet B, ln "&amp;'WS B ADIT &amp; ITC'!A17&amp;" &amp; ln "&amp;'WS B ADIT &amp; ITC'!A20&amp;".E)"</f>
        <v>(Worksheet B, ln 2 &amp; ln 5.E)</v>
      </c>
      <c r="F91" s="135"/>
      <c r="G91" s="148">
        <f>'WS B ADIT &amp; ITC'!I17</f>
        <v>0</v>
      </c>
      <c r="H91" s="148"/>
      <c r="I91" s="149" t="s">
        <v>418</v>
      </c>
      <c r="J91" s="150"/>
      <c r="K91" s="135"/>
      <c r="L91" s="148">
        <f>'WS B ADIT &amp; ITC'!I20</f>
        <v>0</v>
      </c>
      <c r="M91" s="135"/>
      <c r="N91" s="135"/>
      <c r="O91" s="135"/>
    </row>
    <row r="92" spans="2:15">
      <c r="B92" s="136">
        <f t="shared" si="1"/>
        <v>39</v>
      </c>
      <c r="C92" s="178"/>
      <c r="D92" s="131" t="s">
        <v>476</v>
      </c>
      <c r="E92" s="135" t="str">
        <f>"(Worksheet B, ln "&amp;'WS B ADIT &amp; ITC'!A25&amp;" &amp; ln "&amp;'WS B ADIT &amp; ITC'!A28&amp;".E)"</f>
        <v>(Worksheet B, ln 7 &amp; ln 10.E)</v>
      </c>
      <c r="F92" s="135"/>
      <c r="G92" s="148">
        <f>-'WS B ADIT &amp; ITC'!I25</f>
        <v>-566026313.67929101</v>
      </c>
      <c r="H92" s="148"/>
      <c r="I92" s="149" t="s">
        <v>420</v>
      </c>
      <c r="J92" s="150"/>
      <c r="K92" s="135"/>
      <c r="L92" s="148">
        <f>-'WS B ADIT &amp; ITC'!I28</f>
        <v>-557434288.86330926</v>
      </c>
      <c r="M92" s="135"/>
      <c r="N92" s="135"/>
      <c r="O92" s="135"/>
    </row>
    <row r="93" spans="2:15">
      <c r="B93" s="136">
        <f t="shared" si="1"/>
        <v>40</v>
      </c>
      <c r="C93" s="178"/>
      <c r="D93" s="131" t="s">
        <v>477</v>
      </c>
      <c r="E93" s="135" t="str">
        <f>"(Worksheet B, ln "&amp;'WS B ADIT &amp; ITC'!A33&amp;" &amp; ln "&amp;'WS B ADIT &amp; ITC'!A36&amp;".E)"</f>
        <v>(Worksheet B, ln 12 &amp; ln 15.E)</v>
      </c>
      <c r="F93" s="135"/>
      <c r="G93" s="148">
        <f>-'WS B ADIT &amp; ITC'!I33</f>
        <v>-26087932.999331579</v>
      </c>
      <c r="H93" s="148"/>
      <c r="I93" s="149" t="s">
        <v>420</v>
      </c>
      <c r="J93" s="150"/>
      <c r="K93" s="135"/>
      <c r="L93" s="148">
        <f>-'WS B ADIT &amp; ITC'!I36</f>
        <v>-6722350.5293315798</v>
      </c>
      <c r="M93" s="135"/>
      <c r="N93" s="135"/>
      <c r="O93" s="135"/>
    </row>
    <row r="94" spans="2:15">
      <c r="B94" s="136">
        <f t="shared" si="1"/>
        <v>41</v>
      </c>
      <c r="C94" s="178"/>
      <c r="D94" s="131" t="s">
        <v>478</v>
      </c>
      <c r="E94" s="135" t="str">
        <f>"(Worksheet B, ln "&amp;'WS B ADIT &amp; ITC'!A41&amp;" &amp; ln "&amp;'WS B ADIT &amp; ITC'!A44&amp;".E)"</f>
        <v>(Worksheet B, ln 17 &amp; ln 20.E)</v>
      </c>
      <c r="F94" s="135"/>
      <c r="G94" s="148">
        <f>'WS B ADIT &amp; ITC'!I41</f>
        <v>21008794.075308226</v>
      </c>
      <c r="H94" s="148"/>
      <c r="I94" s="149" t="s">
        <v>420</v>
      </c>
      <c r="J94" s="150"/>
      <c r="K94" s="135"/>
      <c r="L94" s="148">
        <f>'WS B ADIT &amp; ITC'!I44</f>
        <v>2482359.5553082265</v>
      </c>
      <c r="M94" s="135"/>
      <c r="N94" s="135"/>
      <c r="O94" s="135"/>
    </row>
    <row r="95" spans="2:15" ht="15.75" thickBot="1">
      <c r="B95" s="136">
        <f t="shared" si="1"/>
        <v>42</v>
      </c>
      <c r="C95" s="178"/>
      <c r="D95" s="126" t="s">
        <v>424</v>
      </c>
      <c r="E95" s="135" t="str">
        <f>"(Worksheet B, ln "&amp;'WS B ADIT &amp; ITC'!A51&amp;" &amp; ln "&amp;'WS B ADIT &amp; ITC'!A52&amp;".E)"</f>
        <v>(Worksheet B, ln 24 &amp; ln 25.E)</v>
      </c>
      <c r="G95" s="183">
        <f>-'WS B ADIT &amp; ITC'!I51</f>
        <v>0</v>
      </c>
      <c r="H95" s="148"/>
      <c r="I95" s="149" t="s">
        <v>420</v>
      </c>
      <c r="J95" s="150"/>
      <c r="K95" s="135"/>
      <c r="L95" s="183">
        <f>-'WS B ADIT &amp; ITC'!I52</f>
        <v>0</v>
      </c>
      <c r="M95" s="191"/>
      <c r="N95" s="135"/>
      <c r="O95" s="135"/>
    </row>
    <row r="96" spans="2:15">
      <c r="B96" s="136">
        <f t="shared" si="1"/>
        <v>43</v>
      </c>
      <c r="C96" s="178"/>
      <c r="D96" s="131" t="s">
        <v>383</v>
      </c>
      <c r="E96" s="131" t="str">
        <f>"(sum lns "&amp;B91&amp;" to "&amp;B95&amp;")"</f>
        <v>(sum lns 38 to 42)</v>
      </c>
      <c r="F96" s="135"/>
      <c r="G96" s="148">
        <f>SUM(G91:G95)</f>
        <v>-571105452.6033144</v>
      </c>
      <c r="H96" s="41"/>
      <c r="I96" s="149"/>
      <c r="J96" s="158"/>
      <c r="K96" s="135"/>
      <c r="L96" s="148">
        <f>SUM(L91:L95)</f>
        <v>-561674279.83733261</v>
      </c>
      <c r="M96" s="135"/>
      <c r="N96" s="192"/>
    </row>
    <row r="97" spans="2:13">
      <c r="B97" s="136"/>
      <c r="C97" s="137"/>
      <c r="D97" s="131"/>
      <c r="E97" s="135"/>
      <c r="F97" s="135"/>
      <c r="G97" s="148"/>
      <c r="H97" s="41"/>
      <c r="I97" s="149"/>
      <c r="J97" s="187"/>
      <c r="K97" s="135"/>
      <c r="L97" s="148"/>
      <c r="M97" s="135"/>
    </row>
    <row r="98" spans="2:13">
      <c r="B98" s="136">
        <f>+B96+1</f>
        <v>44</v>
      </c>
      <c r="C98" s="137"/>
      <c r="D98" s="131" t="s">
        <v>487</v>
      </c>
      <c r="E98" s="135" t="str">
        <f>"(Worksheet A ln "&amp;'WS A - Rate Base Support'!A69&amp;"."&amp;'WS A - Rate Base Support'!F68 &amp;")"&amp;" ln "&amp;'WS A - Rate Base Support'!A71&amp;"."&amp;'WS A - Rate Base Support'!F68 &amp;")"</f>
        <v>(Worksheet A ln 44.(e)) ln 45.(e))</v>
      </c>
      <c r="F98" s="135"/>
      <c r="G98" s="148">
        <f>'WS A - Rate Base Support'!F69</f>
        <v>0</v>
      </c>
      <c r="H98" s="41"/>
      <c r="I98" s="149" t="s">
        <v>420</v>
      </c>
      <c r="J98" s="150"/>
      <c r="K98" s="135"/>
      <c r="L98" s="148">
        <f>'WS A - Rate Base Support'!F71</f>
        <v>0</v>
      </c>
      <c r="M98" s="135"/>
    </row>
    <row r="99" spans="2:13">
      <c r="B99" s="136"/>
      <c r="C99" s="137"/>
      <c r="D99" s="131"/>
      <c r="E99" s="135"/>
      <c r="F99" s="135"/>
      <c r="G99" s="148"/>
      <c r="H99" s="41"/>
      <c r="I99" s="149"/>
      <c r="J99" s="150"/>
      <c r="K99" s="135"/>
      <c r="L99" s="148"/>
      <c r="M99" s="135"/>
    </row>
    <row r="100" spans="2:13">
      <c r="B100" s="136">
        <f>+B98+1</f>
        <v>45</v>
      </c>
      <c r="C100" s="137"/>
      <c r="D100" s="131" t="s">
        <v>122</v>
      </c>
      <c r="E100" s="135" t="str">
        <f>"(Worksheet A ln "&amp;'WS A - Rate Base Support'!A80&amp;"."&amp;'WS A - Rate Base Support'!F68 &amp;")"</f>
        <v>(Worksheet A ln 51.(e))</v>
      </c>
      <c r="F100" s="135"/>
      <c r="G100" s="148">
        <f>'WS A - Rate Base Support'!F80</f>
        <v>0</v>
      </c>
      <c r="H100" s="41"/>
      <c r="I100" s="149" t="s">
        <v>420</v>
      </c>
      <c r="J100" s="135"/>
      <c r="K100" s="135"/>
      <c r="L100" s="148">
        <f>+G100</f>
        <v>0</v>
      </c>
      <c r="M100" s="135"/>
    </row>
    <row r="101" spans="2:13">
      <c r="B101" s="136"/>
      <c r="C101" s="137"/>
      <c r="D101" s="131"/>
      <c r="E101" s="135"/>
      <c r="F101" s="135"/>
      <c r="G101" s="148"/>
      <c r="H101" s="41"/>
      <c r="I101" s="149"/>
      <c r="J101" s="135"/>
      <c r="K101" s="135"/>
      <c r="L101" s="148"/>
      <c r="M101" s="135"/>
    </row>
    <row r="102" spans="2:13">
      <c r="B102" s="136">
        <f>B100+1</f>
        <v>46</v>
      </c>
      <c r="C102" s="178"/>
      <c r="D102" s="144" t="s">
        <v>631</v>
      </c>
      <c r="E102" s="135" t="s">
        <v>632</v>
      </c>
      <c r="F102" s="135"/>
      <c r="G102" s="148">
        <f>'WS A - Rate Base Support'!F87</f>
        <v>0</v>
      </c>
      <c r="H102" s="148"/>
      <c r="I102" s="149" t="s">
        <v>422</v>
      </c>
      <c r="J102" s="150">
        <f>L235</f>
        <v>1</v>
      </c>
      <c r="K102" s="135"/>
      <c r="L102" s="148">
        <f>+J102*G102</f>
        <v>0</v>
      </c>
      <c r="M102" s="135"/>
    </row>
    <row r="103" spans="2:13">
      <c r="B103" s="136"/>
      <c r="C103" s="137"/>
      <c r="D103" s="131"/>
      <c r="E103" s="135"/>
      <c r="F103" s="135"/>
      <c r="G103" s="148"/>
      <c r="H103" s="41"/>
      <c r="I103" s="149"/>
      <c r="J103" s="135"/>
      <c r="K103" s="135"/>
      <c r="L103" s="148"/>
      <c r="M103" s="135"/>
    </row>
    <row r="104" spans="2:13">
      <c r="B104" s="136">
        <f>+B102+1</f>
        <v>47</v>
      </c>
      <c r="C104" s="137"/>
      <c r="D104" s="131" t="s">
        <v>384</v>
      </c>
      <c r="E104" s="135" t="s">
        <v>286</v>
      </c>
      <c r="F104" s="135"/>
      <c r="G104" s="148"/>
      <c r="H104" s="41"/>
      <c r="I104" s="149"/>
      <c r="J104" s="135"/>
      <c r="K104" s="135"/>
      <c r="L104" s="148"/>
      <c r="M104" s="135"/>
    </row>
    <row r="105" spans="2:13">
      <c r="B105" s="136">
        <f t="shared" ref="B105:B114" si="2">+B104+1</f>
        <v>48</v>
      </c>
      <c r="C105" s="178"/>
      <c r="D105" s="131" t="s">
        <v>486</v>
      </c>
      <c r="E105" s="126" t="str">
        <f>"(1/8 * ln "&amp;B140&amp;")"</f>
        <v>(1/8 * ln 66)</v>
      </c>
      <c r="G105" s="148">
        <f>+G140/8</f>
        <v>6481301.9751774985</v>
      </c>
      <c r="H105" s="135"/>
      <c r="I105" s="149"/>
      <c r="J105" s="187"/>
      <c r="K105" s="135"/>
      <c r="L105" s="148">
        <f>+L140/8</f>
        <v>6481301.9751774985</v>
      </c>
      <c r="M105" s="131"/>
    </row>
    <row r="106" spans="2:13">
      <c r="B106" s="136">
        <f t="shared" si="2"/>
        <v>49</v>
      </c>
      <c r="C106" s="178"/>
      <c r="D106" s="131" t="s">
        <v>129</v>
      </c>
      <c r="E106" s="135" t="str">
        <f>"(Worksheet C, ln "&amp;'WS C  - Working Capital'!A17&amp;".(F))"</f>
        <v>(Worksheet C, ln 2.(F))</v>
      </c>
      <c r="F106" s="135"/>
      <c r="G106" s="148">
        <f>'WS C  - Working Capital'!I17</f>
        <v>3</v>
      </c>
      <c r="H106" s="41"/>
      <c r="I106" s="149" t="s">
        <v>412</v>
      </c>
      <c r="J106" s="150">
        <f>J140</f>
        <v>1</v>
      </c>
      <c r="K106" s="135"/>
      <c r="L106" s="148">
        <f>+J106*G106</f>
        <v>3</v>
      </c>
      <c r="M106" s="135"/>
    </row>
    <row r="107" spans="2:13">
      <c r="B107" s="136"/>
      <c r="C107" s="178"/>
      <c r="D107" s="131"/>
      <c r="E107" s="135"/>
      <c r="F107" s="135"/>
      <c r="G107" s="148"/>
      <c r="H107" s="98"/>
      <c r="I107" s="149"/>
      <c r="J107" s="150"/>
      <c r="K107" s="135"/>
      <c r="L107" s="148"/>
      <c r="M107" s="135"/>
    </row>
    <row r="108" spans="2:13">
      <c r="B108" s="136">
        <f>+B106+1</f>
        <v>50</v>
      </c>
      <c r="C108" s="178"/>
      <c r="D108" s="131" t="s">
        <v>130</v>
      </c>
      <c r="E108" s="135" t="str">
        <f>"(Worksheet C, ln "&amp;'WS C  - Working Capital'!A21&amp;".(F))"</f>
        <v>(Worksheet C, ln 3.(F))</v>
      </c>
      <c r="F108" s="135"/>
      <c r="G108" s="148">
        <f>'WS C  - Working Capital'!I21</f>
        <v>0</v>
      </c>
      <c r="H108" s="98"/>
      <c r="I108" s="149" t="s">
        <v>422</v>
      </c>
      <c r="J108" s="150">
        <f>L235</f>
        <v>1</v>
      </c>
      <c r="K108" s="135"/>
      <c r="L108" s="148">
        <f>+J108*G108</f>
        <v>0</v>
      </c>
      <c r="M108" s="135"/>
    </row>
    <row r="109" spans="2:13">
      <c r="B109" s="136">
        <f t="shared" si="2"/>
        <v>51</v>
      </c>
      <c r="C109" s="178"/>
      <c r="D109" s="131" t="s">
        <v>318</v>
      </c>
      <c r="E109" s="135" t="str">
        <f>"(Worksheet C, ln "&amp;'WS C  - Working Capital'!A23&amp;".(F))"</f>
        <v>(Worksheet C, ln 4.(F))</v>
      </c>
      <c r="F109" s="135"/>
      <c r="G109" s="148">
        <f>'WS C  - Working Capital'!I23</f>
        <v>0</v>
      </c>
      <c r="H109" s="41"/>
      <c r="I109" s="149" t="s">
        <v>752</v>
      </c>
      <c r="J109" s="150">
        <f>J70</f>
        <v>1</v>
      </c>
      <c r="K109" s="135"/>
      <c r="L109" s="148">
        <f>+J109*G109</f>
        <v>0</v>
      </c>
      <c r="M109" s="135"/>
    </row>
    <row r="110" spans="2:13">
      <c r="B110" s="136">
        <f t="shared" si="2"/>
        <v>52</v>
      </c>
      <c r="C110" s="178"/>
      <c r="D110" s="131" t="s">
        <v>490</v>
      </c>
      <c r="E110" s="135" t="str">
        <f>"(Worksheet C, ln "&amp;'WS C  - Working Capital'!A33&amp;".(G))"</f>
        <v>(Worksheet C, ln 8.(G))</v>
      </c>
      <c r="F110" s="135"/>
      <c r="G110" s="148">
        <f>'WS C  - Working Capital'!J33</f>
        <v>0</v>
      </c>
      <c r="H110" s="41"/>
      <c r="I110" s="149" t="s">
        <v>422</v>
      </c>
      <c r="J110" s="150">
        <f>L235</f>
        <v>1</v>
      </c>
      <c r="K110" s="135"/>
      <c r="L110" s="148">
        <f>+J110*G110</f>
        <v>0</v>
      </c>
      <c r="M110" s="135"/>
    </row>
    <row r="111" spans="2:13">
      <c r="B111" s="136">
        <f t="shared" si="2"/>
        <v>53</v>
      </c>
      <c r="C111" s="178"/>
      <c r="D111" s="131" t="s">
        <v>491</v>
      </c>
      <c r="E111" s="135" t="str">
        <f>"(Worksheet C, ln "&amp;'WS C  - Working Capital'!A33&amp;".(F))"</f>
        <v>(Worksheet C, ln 8.(F))</v>
      </c>
      <c r="F111" s="135"/>
      <c r="G111" s="148">
        <f>'WS C  - Working Capital'!I33</f>
        <v>355664</v>
      </c>
      <c r="H111" s="41"/>
      <c r="I111" s="149" t="s">
        <v>752</v>
      </c>
      <c r="J111" s="150">
        <f>J70</f>
        <v>1</v>
      </c>
      <c r="K111" s="135"/>
      <c r="L111" s="148">
        <f>+G111*J111</f>
        <v>355664</v>
      </c>
      <c r="M111" s="135"/>
    </row>
    <row r="112" spans="2:13">
      <c r="B112" s="136">
        <f t="shared" si="2"/>
        <v>54</v>
      </c>
      <c r="C112" s="178"/>
      <c r="D112" s="131" t="s">
        <v>101</v>
      </c>
      <c r="E112" s="135" t="str">
        <f>"(Worksheet C, ln "&amp;'WS C  - Working Capital'!A33&amp;".(E))"</f>
        <v>(Worksheet C, ln 8.(E))</v>
      </c>
      <c r="F112" s="135"/>
      <c r="G112" s="148">
        <f>'WS C  - Working Capital'!G33</f>
        <v>0</v>
      </c>
      <c r="H112" s="41"/>
      <c r="I112" s="149" t="s">
        <v>420</v>
      </c>
      <c r="J112" s="150">
        <v>1</v>
      </c>
      <c r="K112" s="135"/>
      <c r="L112" s="148">
        <f>+G112</f>
        <v>0</v>
      </c>
      <c r="M112" s="135"/>
    </row>
    <row r="113" spans="2:15" ht="15.75" thickBot="1">
      <c r="B113" s="136">
        <f t="shared" si="2"/>
        <v>55</v>
      </c>
      <c r="C113" s="178"/>
      <c r="D113" s="131" t="s">
        <v>396</v>
      </c>
      <c r="E113" s="135" t="str">
        <f>"(Worksheet C, ln "&amp;'WS C  - Working Capital'!A33&amp;".(D))"</f>
        <v>(Worksheet C, ln 8.(D))</v>
      </c>
      <c r="F113" s="135"/>
      <c r="G113" s="183">
        <f>'WS C  - Working Capital'!E33</f>
        <v>0</v>
      </c>
      <c r="H113" s="148"/>
      <c r="I113" s="149" t="s">
        <v>418</v>
      </c>
      <c r="J113" s="150">
        <v>0</v>
      </c>
      <c r="K113" s="135"/>
      <c r="L113" s="183">
        <f>+G113*J113</f>
        <v>0</v>
      </c>
      <c r="M113" s="135"/>
    </row>
    <row r="114" spans="2:15">
      <c r="B114" s="136">
        <f t="shared" si="2"/>
        <v>56</v>
      </c>
      <c r="C114" s="178"/>
      <c r="D114" s="131" t="s">
        <v>368</v>
      </c>
      <c r="E114" s="131" t="str">
        <f>"(sum lns "&amp;B105&amp;" to "&amp;B113&amp;")"</f>
        <v>(sum lns 48 to 55)</v>
      </c>
      <c r="F114" s="131"/>
      <c r="G114" s="148">
        <f>SUM(G105:G113)</f>
        <v>6836968.9751774985</v>
      </c>
      <c r="H114" s="131"/>
      <c r="I114" s="137"/>
      <c r="J114" s="131"/>
      <c r="K114" s="131"/>
      <c r="L114" s="148">
        <f>SUM(L105:L113)</f>
        <v>6836968.9751774985</v>
      </c>
      <c r="M114" s="131"/>
    </row>
    <row r="115" spans="2:15">
      <c r="B115" s="136"/>
      <c r="C115" s="137"/>
      <c r="D115" s="131"/>
      <c r="E115" s="131"/>
      <c r="F115" s="131"/>
      <c r="G115" s="148"/>
      <c r="H115" s="131"/>
      <c r="I115" s="137"/>
      <c r="J115" s="131"/>
      <c r="K115" s="131"/>
      <c r="L115" s="148"/>
      <c r="M115" s="131"/>
    </row>
    <row r="116" spans="2:15">
      <c r="B116" s="136">
        <f>+B114+1</f>
        <v>57</v>
      </c>
      <c r="C116" s="137"/>
      <c r="D116" s="131" t="s">
        <v>356</v>
      </c>
      <c r="E116" s="131" t="str">
        <f>"(Note F) (Worksheet D, ln "&amp;'WS D IPP Credits'!A23&amp;".B)"</f>
        <v>(Note F) (Worksheet D, ln 8.B)</v>
      </c>
      <c r="F116" s="131"/>
      <c r="G116" s="148">
        <f>+'WS D IPP Credits'!C21</f>
        <v>0</v>
      </c>
      <c r="H116" s="131"/>
      <c r="I116" s="193" t="s">
        <v>420</v>
      </c>
      <c r="J116" s="150">
        <v>1</v>
      </c>
      <c r="K116" s="135"/>
      <c r="L116" s="148">
        <f>+J116*G116</f>
        <v>0</v>
      </c>
      <c r="M116" s="131"/>
    </row>
    <row r="117" spans="2:15" ht="15.75" thickBot="1">
      <c r="B117" s="136"/>
      <c r="E117" s="135"/>
      <c r="F117" s="135"/>
      <c r="G117" s="183"/>
      <c r="H117" s="135"/>
      <c r="I117" s="149"/>
      <c r="J117" s="135"/>
      <c r="K117" s="135"/>
      <c r="L117" s="183"/>
      <c r="M117" s="135"/>
    </row>
    <row r="118" spans="2:15" ht="15.75" thickBot="1">
      <c r="B118" s="136">
        <f>+B116+1</f>
        <v>58</v>
      </c>
      <c r="C118" s="137"/>
      <c r="D118" s="131" t="str">
        <f>"RATE BASE  (sum lns "&amp;B87&amp;", "&amp;B96&amp;", "&amp;B98&amp;", "&amp;B100&amp;", "&amp;B102&amp;", "&amp;B114&amp;", "&amp;B116&amp;")"</f>
        <v>RATE BASE  (sum lns 36, 43, 44, 45, 46, 56, 57)</v>
      </c>
      <c r="E118" s="135"/>
      <c r="F118" s="135"/>
      <c r="G118" s="194">
        <f>+G114+G98+G96+G87+G116+G100+G102</f>
        <v>5477983168.5510054</v>
      </c>
      <c r="H118" s="135"/>
      <c r="I118" s="135"/>
      <c r="J118" s="187"/>
      <c r="K118" s="135"/>
      <c r="L118" s="194">
        <f>+L114+L98+L96+L87+L116+L100+L102</f>
        <v>5487414341.316987</v>
      </c>
      <c r="M118" s="135"/>
    </row>
    <row r="119" spans="2:15" ht="16.5" thickTop="1">
      <c r="B119" s="136"/>
      <c r="C119" s="41"/>
      <c r="D119" s="41"/>
      <c r="E119" s="41"/>
      <c r="F119" s="41"/>
      <c r="G119" s="41"/>
      <c r="H119" s="41"/>
      <c r="I119" s="129"/>
      <c r="J119" s="129"/>
      <c r="K119" s="129"/>
    </row>
    <row r="120" spans="2:15">
      <c r="B120" s="195"/>
      <c r="C120" s="137"/>
      <c r="D120" s="131"/>
      <c r="E120" s="135"/>
      <c r="F120" s="135"/>
      <c r="G120" s="135"/>
      <c r="H120" s="135"/>
      <c r="I120" s="135"/>
      <c r="J120" s="135"/>
      <c r="K120" s="135"/>
      <c r="L120" s="135"/>
      <c r="M120" s="135"/>
    </row>
    <row r="121" spans="2:15">
      <c r="B121" s="195"/>
      <c r="C121" s="137"/>
      <c r="D121" s="131"/>
      <c r="E121" s="135"/>
      <c r="F121" s="149" t="str">
        <f>F51</f>
        <v>AEPTCo subsidiaries in PJM</v>
      </c>
      <c r="G121" s="149"/>
      <c r="H121" s="135"/>
      <c r="I121" s="135"/>
      <c r="J121" s="135"/>
      <c r="K121" s="135"/>
      <c r="L121" s="135"/>
      <c r="M121" s="196"/>
    </row>
    <row r="122" spans="2:15">
      <c r="B122" s="195"/>
      <c r="C122" s="137"/>
      <c r="D122" s="131"/>
      <c r="E122" s="135"/>
      <c r="F122" s="149" t="str">
        <f>F52</f>
        <v>Transmission Cost of Service Formula Rate</v>
      </c>
      <c r="G122" s="149"/>
      <c r="H122" s="135"/>
      <c r="I122" s="135"/>
      <c r="J122" s="135"/>
      <c r="K122" s="135"/>
      <c r="L122" s="135"/>
      <c r="M122" s="196"/>
    </row>
    <row r="123" spans="2:15">
      <c r="B123" s="195"/>
      <c r="C123" s="137"/>
      <c r="E123" s="135"/>
      <c r="F123" s="149" t="str">
        <f>F53</f>
        <v>Utilizing  Actual/Projected FERC Form 1 Data</v>
      </c>
      <c r="G123" s="135"/>
      <c r="H123" s="135"/>
      <c r="I123" s="135"/>
      <c r="J123" s="135"/>
      <c r="K123" s="135"/>
      <c r="L123" s="135"/>
      <c r="M123" s="166"/>
    </row>
    <row r="124" spans="2:15">
      <c r="B124" s="195"/>
      <c r="C124" s="137"/>
      <c r="E124" s="135"/>
      <c r="F124" s="149"/>
      <c r="G124" s="135"/>
      <c r="H124" s="135"/>
      <c r="I124" s="135"/>
      <c r="J124" s="135"/>
      <c r="K124" s="135"/>
      <c r="L124" s="135"/>
      <c r="M124" s="135"/>
    </row>
    <row r="125" spans="2:15">
      <c r="B125" s="195"/>
      <c r="C125" s="137"/>
      <c r="E125" s="197"/>
      <c r="F125" s="149" t="str">
        <f>F55</f>
        <v>AEP Ohio Transmission Company</v>
      </c>
      <c r="G125" s="197"/>
      <c r="H125" s="197"/>
      <c r="I125" s="197"/>
      <c r="J125" s="197"/>
      <c r="K125" s="197"/>
      <c r="M125" s="135"/>
    </row>
    <row r="126" spans="2:15">
      <c r="B126" s="195"/>
      <c r="C126" s="137"/>
      <c r="E126" s="197"/>
      <c r="F126" s="149"/>
      <c r="G126" s="197"/>
      <c r="H126" s="197"/>
      <c r="I126" s="197"/>
      <c r="J126" s="197"/>
      <c r="K126" s="197"/>
      <c r="M126" s="135"/>
    </row>
    <row r="127" spans="2:15">
      <c r="B127" s="195"/>
      <c r="D127" s="137" t="s">
        <v>413</v>
      </c>
      <c r="E127" s="137" t="s">
        <v>414</v>
      </c>
      <c r="F127" s="137"/>
      <c r="G127" s="137" t="s">
        <v>415</v>
      </c>
      <c r="H127" s="135"/>
      <c r="I127" s="1127" t="s">
        <v>416</v>
      </c>
      <c r="J127" s="1131"/>
      <c r="K127" s="135"/>
      <c r="L127" s="138" t="s">
        <v>417</v>
      </c>
      <c r="M127" s="135"/>
      <c r="N127" s="138"/>
    </row>
    <row r="128" spans="2:15" ht="15.75">
      <c r="B128" s="195"/>
      <c r="D128" s="137"/>
      <c r="E128" s="137"/>
      <c r="F128" s="137"/>
      <c r="G128" s="137"/>
      <c r="H128" s="135"/>
      <c r="I128" s="135"/>
      <c r="J128" s="168"/>
      <c r="K128" s="135"/>
      <c r="M128" s="135"/>
      <c r="N128" s="198"/>
      <c r="O128" s="129"/>
    </row>
    <row r="129" spans="2:15" ht="15.75">
      <c r="B129" s="195"/>
      <c r="C129" s="137"/>
      <c r="D129" s="198" t="s">
        <v>392</v>
      </c>
      <c r="E129" s="170" t="str">
        <f>E59</f>
        <v>Data Sources</v>
      </c>
      <c r="F129" s="171"/>
      <c r="G129" s="135"/>
      <c r="H129" s="135"/>
      <c r="I129" s="135"/>
      <c r="J129" s="137"/>
      <c r="K129" s="135"/>
      <c r="L129" s="170" t="str">
        <f>L59</f>
        <v>Total</v>
      </c>
      <c r="N129" s="198"/>
      <c r="O129" s="129"/>
    </row>
    <row r="130" spans="2:15" ht="15.75">
      <c r="B130" s="195"/>
      <c r="C130" s="137"/>
      <c r="D130" s="173" t="s">
        <v>393</v>
      </c>
      <c r="E130" s="199" t="str">
        <f>E60</f>
        <v>(See "General Notes")</v>
      </c>
      <c r="F130" s="135"/>
      <c r="G130" s="199" t="str">
        <f>G60</f>
        <v>TO Total</v>
      </c>
      <c r="H130" s="175"/>
      <c r="I130" s="1129" t="str">
        <f>I60</f>
        <v>Allocator</v>
      </c>
      <c r="J130" s="1130"/>
      <c r="K130" s="175"/>
      <c r="L130" s="199" t="str">
        <f>L60</f>
        <v>Transmission</v>
      </c>
      <c r="M130" s="135"/>
      <c r="N130" s="198"/>
      <c r="O130" s="129"/>
    </row>
    <row r="131" spans="2:15" ht="15.75">
      <c r="B131" s="136" t="str">
        <f>B61</f>
        <v>Line</v>
      </c>
      <c r="D131" s="131"/>
      <c r="E131" s="135"/>
      <c r="F131" s="135"/>
      <c r="G131" s="173"/>
      <c r="H131" s="200"/>
      <c r="I131" s="198"/>
      <c r="K131" s="200"/>
      <c r="L131" s="173"/>
      <c r="M131" s="135"/>
    </row>
    <row r="132" spans="2:15">
      <c r="B132" s="136" t="str">
        <f>B62</f>
        <v>No.</v>
      </c>
      <c r="C132" s="137"/>
      <c r="D132" s="131" t="s">
        <v>394</v>
      </c>
      <c r="E132" s="135"/>
      <c r="F132" s="135"/>
      <c r="G132" s="135"/>
      <c r="H132" s="135"/>
      <c r="I132" s="149"/>
      <c r="J132" s="135"/>
      <c r="K132" s="135"/>
      <c r="L132" s="135"/>
      <c r="M132" s="135"/>
    </row>
    <row r="133" spans="2:15">
      <c r="B133" s="136">
        <f>+B118+1</f>
        <v>59</v>
      </c>
      <c r="C133" s="137"/>
      <c r="D133" s="131" t="s">
        <v>32</v>
      </c>
      <c r="E133" s="135" t="s">
        <v>484</v>
      </c>
      <c r="F133" s="135"/>
      <c r="G133" s="117">
        <v>0</v>
      </c>
      <c r="H133" s="135"/>
      <c r="I133" s="149"/>
      <c r="J133" s="150"/>
      <c r="K133" s="135"/>
      <c r="L133" s="148"/>
      <c r="M133" s="135"/>
    </row>
    <row r="134" spans="2:15">
      <c r="B134" s="136">
        <f t="shared" ref="B134:B140" si="3">+B133+1</f>
        <v>60</v>
      </c>
      <c r="C134" s="137"/>
      <c r="D134" s="131" t="s">
        <v>38</v>
      </c>
      <c r="E134" s="135" t="s">
        <v>198</v>
      </c>
      <c r="F134" s="135"/>
      <c r="G134" s="115">
        <v>0</v>
      </c>
      <c r="H134" s="135"/>
      <c r="I134" s="149"/>
      <c r="J134" s="150"/>
      <c r="K134" s="135"/>
      <c r="L134" s="148"/>
      <c r="M134" s="135"/>
    </row>
    <row r="135" spans="2:15" ht="15.75" thickBot="1">
      <c r="B135" s="136">
        <f t="shared" si="3"/>
        <v>61</v>
      </c>
      <c r="C135" s="137"/>
      <c r="D135" s="131" t="s">
        <v>425</v>
      </c>
      <c r="E135" s="135" t="s">
        <v>197</v>
      </c>
      <c r="F135" s="135"/>
      <c r="G135" s="113">
        <v>53480551.516334049</v>
      </c>
      <c r="H135" s="201"/>
      <c r="I135" s="41"/>
      <c r="J135" s="41"/>
      <c r="K135"/>
      <c r="L135"/>
      <c r="M135" s="131"/>
      <c r="N135" s="135"/>
      <c r="O135" s="135"/>
    </row>
    <row r="136" spans="2:15">
      <c r="B136" s="136">
        <f t="shared" si="3"/>
        <v>62</v>
      </c>
      <c r="C136" s="137"/>
      <c r="D136" s="131" t="s">
        <v>39</v>
      </c>
      <c r="E136" s="135" t="str">
        <f>"(sum lns "&amp;B133&amp;"  to "&amp;B135&amp;")"</f>
        <v>(sum lns 59  to 61)</v>
      </c>
      <c r="F136" s="135"/>
      <c r="G136" s="148">
        <f>SUM(G133:G135)</f>
        <v>53480551.516334049</v>
      </c>
      <c r="H136" s="148"/>
      <c r="I136" s="41"/>
      <c r="J136" s="41"/>
      <c r="K136"/>
      <c r="L136"/>
      <c r="M136" s="131"/>
      <c r="N136" s="135"/>
      <c r="O136" s="135"/>
    </row>
    <row r="137" spans="2:15">
      <c r="B137" s="136">
        <f t="shared" si="3"/>
        <v>63</v>
      </c>
      <c r="C137" s="137"/>
      <c r="D137" s="131" t="s">
        <v>123</v>
      </c>
      <c r="E137" s="135" t="str">
        <f>"(Note G) (Worksheet F, ln "&amp;'WS F Misc Exp'!A33&amp;".C)"</f>
        <v>(Note G) (Worksheet F, ln 14.C)</v>
      </c>
      <c r="F137" s="135"/>
      <c r="G137" s="148">
        <f>+'WS F Misc Exp'!D33</f>
        <v>1630135.7149140644</v>
      </c>
      <c r="H137" s="148"/>
      <c r="I137" s="41"/>
      <c r="J137" s="41"/>
      <c r="K137"/>
      <c r="L137"/>
      <c r="M137" s="131"/>
      <c r="N137" s="135"/>
      <c r="O137" s="135"/>
    </row>
    <row r="138" spans="2:15">
      <c r="B138" s="136">
        <f t="shared" si="3"/>
        <v>64</v>
      </c>
      <c r="C138" s="137"/>
      <c r="D138" s="131" t="s">
        <v>352</v>
      </c>
      <c r="E138" s="135" t="s">
        <v>391</v>
      </c>
      <c r="F138" s="135"/>
      <c r="G138" s="117">
        <v>0</v>
      </c>
      <c r="H138" s="148"/>
      <c r="I138" s="41"/>
      <c r="J138" s="41"/>
      <c r="K138"/>
      <c r="L138"/>
      <c r="M138" s="131"/>
      <c r="N138" s="135"/>
      <c r="O138" s="135"/>
    </row>
    <row r="139" spans="2:15" ht="15.75" thickBot="1">
      <c r="B139" s="136">
        <f t="shared" si="3"/>
        <v>65</v>
      </c>
      <c r="C139" s="137"/>
      <c r="D139" s="131" t="s">
        <v>127</v>
      </c>
      <c r="E139" s="135" t="str">
        <f>"(Note I) (Worksheet F, ln "&amp;'WS F Misc Exp'!A21&amp;".C)"</f>
        <v>(Note I) (Worksheet F, ln 4.C)</v>
      </c>
      <c r="F139" s="135"/>
      <c r="G139" s="183">
        <f>+'WS F Misc Exp'!D21</f>
        <v>0</v>
      </c>
      <c r="H139" s="148"/>
      <c r="I139" s="41"/>
      <c r="J139" s="41"/>
      <c r="K139"/>
      <c r="L139"/>
      <c r="M139" s="131"/>
      <c r="N139" s="135"/>
      <c r="O139" s="135"/>
    </row>
    <row r="140" spans="2:15">
      <c r="B140" s="136">
        <f t="shared" si="3"/>
        <v>66</v>
      </c>
      <c r="C140" s="137"/>
      <c r="D140" s="131" t="s">
        <v>194</v>
      </c>
      <c r="E140" s="135" t="str">
        <f>"(lns "&amp;B135&amp;" - "&amp;B137&amp;" - "&amp;B138&amp;" - "&amp;B139&amp;")"</f>
        <v>(lns 61 - 63 - 64 - 65)</v>
      </c>
      <c r="F140" s="131"/>
      <c r="G140" s="148">
        <f>G135-G137-G138-G139</f>
        <v>51850415.801419988</v>
      </c>
      <c r="H140" s="135"/>
      <c r="I140" s="149" t="s">
        <v>412</v>
      </c>
      <c r="J140" s="150">
        <f>L217</f>
        <v>1</v>
      </c>
      <c r="K140" s="135"/>
      <c r="L140" s="148">
        <f>+J140*G140</f>
        <v>51850415.801419988</v>
      </c>
      <c r="M140" s="131"/>
      <c r="N140" s="135"/>
      <c r="O140" s="135"/>
    </row>
    <row r="141" spans="2:15">
      <c r="B141" s="136"/>
      <c r="C141" s="137"/>
      <c r="D141" s="131"/>
      <c r="E141" s="135"/>
      <c r="F141" s="135"/>
      <c r="G141" s="41"/>
      <c r="H141" s="148"/>
      <c r="I141" s="41"/>
      <c r="J141" s="41"/>
      <c r="K141"/>
      <c r="L141"/>
      <c r="M141" s="131"/>
      <c r="N141" s="135"/>
      <c r="O141" s="135"/>
    </row>
    <row r="142" spans="2:15">
      <c r="B142" s="136">
        <f>+B140+1</f>
        <v>67</v>
      </c>
      <c r="C142" s="137"/>
      <c r="D142" s="131" t="s">
        <v>395</v>
      </c>
      <c r="E142" s="135" t="s">
        <v>751</v>
      </c>
      <c r="F142" s="135"/>
      <c r="G142" s="117">
        <v>25991060.974961642</v>
      </c>
      <c r="H142" s="201" t="s">
        <v>406</v>
      </c>
      <c r="I142" s="185"/>
      <c r="J142" s="185"/>
      <c r="K142" s="135"/>
      <c r="L142" s="148"/>
      <c r="M142" s="135"/>
      <c r="N142" s="135"/>
      <c r="O142" s="135"/>
    </row>
    <row r="143" spans="2:15">
      <c r="B143" s="136">
        <f t="shared" ref="B143:B149" si="4">+B142+1</f>
        <v>68</v>
      </c>
      <c r="C143" s="137"/>
      <c r="D143" s="131" t="s">
        <v>125</v>
      </c>
      <c r="E143" s="135" t="s">
        <v>199</v>
      </c>
      <c r="F143" s="135"/>
      <c r="G143" s="117">
        <v>1616984.4690853264</v>
      </c>
      <c r="H143" s="148"/>
      <c r="I143" s="185"/>
      <c r="J143" s="131"/>
      <c r="K143" s="135"/>
      <c r="L143" s="148"/>
      <c r="M143"/>
      <c r="N143" s="135"/>
      <c r="O143" s="135"/>
    </row>
    <row r="144" spans="2:15">
      <c r="B144" s="136">
        <f t="shared" si="4"/>
        <v>69</v>
      </c>
      <c r="C144" s="137"/>
      <c r="D144" s="131" t="s">
        <v>124</v>
      </c>
      <c r="E144" s="135" t="s">
        <v>387</v>
      </c>
      <c r="F144" s="135"/>
      <c r="G144" s="117">
        <v>1783101.7368305195</v>
      </c>
      <c r="H144" s="148"/>
      <c r="I144" s="185"/>
      <c r="J144" s="202"/>
      <c r="K144" s="135"/>
      <c r="L144" s="148"/>
      <c r="M144" s="135"/>
      <c r="N144" s="135"/>
      <c r="O144" s="135"/>
    </row>
    <row r="145" spans="2:15">
      <c r="B145" s="136">
        <f t="shared" si="4"/>
        <v>70</v>
      </c>
      <c r="C145" s="137"/>
      <c r="D145" s="131" t="s">
        <v>399</v>
      </c>
      <c r="E145" s="135" t="s">
        <v>388</v>
      </c>
      <c r="F145" s="135"/>
      <c r="G145" s="117">
        <v>0</v>
      </c>
      <c r="H145" s="148"/>
      <c r="I145" s="185"/>
      <c r="J145" s="185"/>
      <c r="K145" s="135"/>
      <c r="L145" s="148"/>
      <c r="M145" s="135"/>
      <c r="N145" s="135"/>
      <c r="O145" s="135"/>
    </row>
    <row r="146" spans="2:15" ht="15.75" thickBot="1">
      <c r="B146" s="136">
        <f t="shared" si="4"/>
        <v>71</v>
      </c>
      <c r="C146" s="137"/>
      <c r="D146" s="131" t="s">
        <v>126</v>
      </c>
      <c r="E146" s="135" t="s">
        <v>389</v>
      </c>
      <c r="F146" s="135"/>
      <c r="G146" s="113">
        <v>221838.2061449287</v>
      </c>
      <c r="H146" s="148"/>
      <c r="I146" s="185"/>
      <c r="J146" s="185"/>
      <c r="K146" s="135"/>
      <c r="L146" s="148"/>
      <c r="M146" s="135"/>
      <c r="N146" s="135"/>
      <c r="O146" s="135"/>
    </row>
    <row r="147" spans="2:15">
      <c r="B147" s="136">
        <f>+B146+1</f>
        <v>72</v>
      </c>
      <c r="C147" s="137"/>
      <c r="D147" s="131" t="s">
        <v>400</v>
      </c>
      <c r="E147" s="135" t="str">
        <f>"(ln "&amp;B142&amp;" - sum ln "&amp;B143&amp;"  to ln "&amp;B146&amp;")"</f>
        <v>(ln 67 - sum ln 68  to ln 71)</v>
      </c>
      <c r="F147" s="135"/>
      <c r="G147" s="148">
        <f>G142-SUM(G143:G146)</f>
        <v>22369136.562900867</v>
      </c>
      <c r="H147" s="148"/>
      <c r="I147" s="149" t="s">
        <v>422</v>
      </c>
      <c r="J147" s="150">
        <f>L235</f>
        <v>1</v>
      </c>
      <c r="K147" s="135"/>
      <c r="L147" s="148">
        <f>+J147*G147</f>
        <v>22369136.562900867</v>
      </c>
      <c r="M147" s="135"/>
      <c r="N147" s="135"/>
      <c r="O147" s="135"/>
    </row>
    <row r="148" spans="2:15">
      <c r="B148" s="136">
        <f t="shared" si="4"/>
        <v>73</v>
      </c>
      <c r="C148" s="137"/>
      <c r="D148" s="131" t="s">
        <v>479</v>
      </c>
      <c r="E148" s="135" t="str">
        <f>"(ln "&amp;B143&amp;")"</f>
        <v>(ln 68)</v>
      </c>
      <c r="F148" s="135"/>
      <c r="G148" s="148">
        <f>+G143</f>
        <v>1616984.4690853264</v>
      </c>
      <c r="H148" s="148"/>
      <c r="I148" s="160" t="s">
        <v>630</v>
      </c>
      <c r="J148" s="150">
        <f>J70</f>
        <v>1</v>
      </c>
      <c r="K148" s="135"/>
      <c r="L148" s="148">
        <f>+J148*G148</f>
        <v>1616984.4690853264</v>
      </c>
      <c r="M148" s="135"/>
      <c r="N148" s="135"/>
      <c r="O148" s="135"/>
    </row>
    <row r="149" spans="2:15">
      <c r="B149" s="136">
        <f t="shared" si="4"/>
        <v>74</v>
      </c>
      <c r="C149" s="137"/>
      <c r="D149" s="131" t="s">
        <v>1</v>
      </c>
      <c r="E149" s="135" t="str">
        <f>"Worksheet F ln "&amp;'WS F Misc Exp'!A44&amp;".(E) (Note L)"</f>
        <v>Worksheet F ln 21.(E) (Note L)</v>
      </c>
      <c r="F149" s="135"/>
      <c r="G149" s="148">
        <f>+'WS F Misc Exp'!F44</f>
        <v>186109.37701388256</v>
      </c>
      <c r="H149" s="148"/>
      <c r="I149" s="149" t="s">
        <v>412</v>
      </c>
      <c r="J149" s="150">
        <f>L217</f>
        <v>1</v>
      </c>
      <c r="K149" s="135"/>
      <c r="L149" s="148">
        <f>J149*G149</f>
        <v>186109.37701388256</v>
      </c>
      <c r="M149" s="135"/>
      <c r="N149" s="135"/>
      <c r="O149" s="135"/>
    </row>
    <row r="150" spans="2:15">
      <c r="B150" s="136">
        <f>B149+1</f>
        <v>75</v>
      </c>
      <c r="C150" s="137"/>
      <c r="D150" s="131" t="s">
        <v>25</v>
      </c>
      <c r="E150" s="135" t="str">
        <f>"Worksheet F ln "&amp;'WS F Misc Exp'!A64&amp;".(E) (Note L)"</f>
        <v>Worksheet F ln 38.(E) (Note L)</v>
      </c>
      <c r="F150" s="135"/>
      <c r="G150" s="148">
        <f>+'WS F Misc Exp'!F64</f>
        <v>0</v>
      </c>
      <c r="H150" s="135"/>
      <c r="I150" s="149" t="s">
        <v>412</v>
      </c>
      <c r="J150" s="150">
        <f>L217</f>
        <v>1</v>
      </c>
      <c r="K150" s="135"/>
      <c r="L150" s="148">
        <f>+J150*G150</f>
        <v>0</v>
      </c>
      <c r="M150" s="135"/>
      <c r="N150" s="135"/>
      <c r="O150" s="135"/>
    </row>
    <row r="151" spans="2:15">
      <c r="B151" s="136">
        <f>+B150+1</f>
        <v>76</v>
      </c>
      <c r="C151" s="137"/>
      <c r="D151" s="131" t="s">
        <v>26</v>
      </c>
      <c r="E151" s="135" t="str">
        <f>"Worksheet F ln "&amp;'WS F Misc Exp'!A72&amp;".(E) (Note L)"</f>
        <v>Worksheet F ln 43.(E) (Note L)</v>
      </c>
      <c r="F151" s="135"/>
      <c r="G151" s="148">
        <f>+'WS F Misc Exp'!F72</f>
        <v>18255.227925005394</v>
      </c>
      <c r="H151" s="1110"/>
      <c r="I151" s="149" t="s">
        <v>420</v>
      </c>
      <c r="J151" s="150">
        <v>1</v>
      </c>
      <c r="K151" s="135"/>
      <c r="L151" s="148">
        <f>+J151*G151</f>
        <v>18255.227925005394</v>
      </c>
      <c r="M151" s="135"/>
      <c r="N151" s="135"/>
      <c r="O151" s="135"/>
    </row>
    <row r="152" spans="2:15">
      <c r="B152" s="136">
        <f>+B151+1</f>
        <v>77</v>
      </c>
      <c r="C152" s="137"/>
      <c r="D152" s="948" t="s">
        <v>786</v>
      </c>
      <c r="E152" s="135" t="str">
        <f>"Worksheet O Ln "&amp;'Worksheet O'!A33&amp;"."&amp;'Worksheet O'!D11&amp;", (Note K &amp; M)"</f>
        <v>Worksheet O Ln 16.(B), (Note K &amp; M)</v>
      </c>
      <c r="F152" s="135"/>
      <c r="G152" s="148">
        <f>'Worksheet O'!D33</f>
        <v>580000</v>
      </c>
      <c r="H152" s="1110"/>
      <c r="I152" s="149" t="s">
        <v>422</v>
      </c>
      <c r="J152" s="150">
        <f>L235</f>
        <v>1</v>
      </c>
      <c r="K152" s="135"/>
      <c r="L152" s="148">
        <f>+J152*G152</f>
        <v>580000</v>
      </c>
      <c r="M152" s="135"/>
      <c r="N152" s="135"/>
      <c r="O152" s="135"/>
    </row>
    <row r="153" spans="2:15" ht="15.75" thickBot="1">
      <c r="B153" s="136"/>
      <c r="C153" s="137"/>
      <c r="D153" s="131"/>
      <c r="E153" s="135"/>
      <c r="F153" s="135"/>
      <c r="G153" s="113"/>
      <c r="H153" s="1110"/>
      <c r="I153" s="149"/>
      <c r="J153" s="150"/>
      <c r="K153" s="135"/>
      <c r="L153" s="183"/>
      <c r="M153" s="135"/>
      <c r="N153" s="135"/>
      <c r="O153" s="135"/>
    </row>
    <row r="154" spans="2:15">
      <c r="B154" s="136">
        <f>+B152+1</f>
        <v>78</v>
      </c>
      <c r="C154" s="137"/>
      <c r="D154" s="131" t="s">
        <v>401</v>
      </c>
      <c r="E154" s="135" t="str">
        <f>"(sum lns "&amp;B147&amp;"  to "&amp;B152&amp;")"</f>
        <v>(sum lns 72  to 77)</v>
      </c>
      <c r="F154" s="135"/>
      <c r="G154" s="148">
        <f>SUM(G147:G153)</f>
        <v>24770485.636925079</v>
      </c>
      <c r="H154" s="148"/>
      <c r="I154" s="149"/>
      <c r="J154" s="185"/>
      <c r="K154" s="135"/>
      <c r="L154" s="148">
        <f>SUM(L147:L153)</f>
        <v>24770485.636925079</v>
      </c>
      <c r="M154" s="135"/>
      <c r="N154" s="148"/>
      <c r="O154" s="135"/>
    </row>
    <row r="155" spans="2:15" ht="15.75" thickBot="1">
      <c r="B155" s="136"/>
      <c r="C155" s="137"/>
      <c r="D155" s="131"/>
      <c r="E155" s="135"/>
      <c r="F155" s="135"/>
      <c r="G155" s="183"/>
      <c r="H155" s="135"/>
      <c r="I155" s="149"/>
      <c r="J155" s="185"/>
      <c r="K155" s="135"/>
      <c r="L155" s="183"/>
      <c r="M155" s="135"/>
      <c r="N155" s="135"/>
      <c r="O155" s="135"/>
    </row>
    <row r="156" spans="2:15">
      <c r="B156" s="136">
        <f>+B154+1</f>
        <v>79</v>
      </c>
      <c r="C156" s="137"/>
      <c r="D156" s="131" t="s">
        <v>196</v>
      </c>
      <c r="E156" s="135" t="str">
        <f>"(ln "&amp;B140&amp;" + ln "&amp;B154&amp;")"</f>
        <v>(ln 66 + ln 78)</v>
      </c>
      <c r="F156" s="135"/>
      <c r="G156" s="148">
        <f>+G140+G154</f>
        <v>76620901.438345075</v>
      </c>
      <c r="H156" s="148"/>
      <c r="I156" s="149"/>
      <c r="J156" s="135"/>
      <c r="K156" s="135"/>
      <c r="L156" s="148">
        <f>L140+L154</f>
        <v>76620901.438345075</v>
      </c>
      <c r="M156" s="135"/>
      <c r="N156" s="135"/>
      <c r="O156" s="135"/>
    </row>
    <row r="157" spans="2:15" ht="15.75" thickBot="1">
      <c r="B157" s="188">
        <f>+B156+1</f>
        <v>80</v>
      </c>
      <c r="C157" s="137"/>
      <c r="D157" s="131" t="s">
        <v>272</v>
      </c>
      <c r="E157" s="131"/>
      <c r="F157" s="135"/>
      <c r="G157" s="113">
        <v>0</v>
      </c>
      <c r="H157" s="148"/>
      <c r="I157" s="149" t="s">
        <v>420</v>
      </c>
      <c r="J157" s="150">
        <f>J63</f>
        <v>0</v>
      </c>
      <c r="K157" s="135"/>
      <c r="L157" s="183">
        <f>J157*G157</f>
        <v>0</v>
      </c>
      <c r="M157" s="135"/>
      <c r="N157" s="135"/>
      <c r="O157" s="135"/>
    </row>
    <row r="158" spans="2:15">
      <c r="B158" s="136">
        <f>+B157+1</f>
        <v>81</v>
      </c>
      <c r="C158" s="137"/>
      <c r="D158" s="131" t="s">
        <v>402</v>
      </c>
      <c r="E158" s="135" t="str">
        <f>"(ln "&amp;B156&amp;" + ln "&amp;B157&amp;")"</f>
        <v>(ln 79 + ln 80)</v>
      </c>
      <c r="F158" s="135"/>
      <c r="G158" s="148">
        <f>+G156+G157</f>
        <v>76620901.438345075</v>
      </c>
      <c r="H158" s="148"/>
      <c r="I158" s="149"/>
      <c r="J158" s="135"/>
      <c r="K158" s="135"/>
      <c r="L158" s="148">
        <f>+L156+L157</f>
        <v>76620901.438345075</v>
      </c>
      <c r="M158" s="135"/>
      <c r="N158" s="135"/>
      <c r="O158" s="135"/>
    </row>
    <row r="159" spans="2:15">
      <c r="B159" s="136"/>
      <c r="C159" s="137"/>
      <c r="D159" s="131"/>
      <c r="E159" s="135"/>
      <c r="F159" s="135"/>
      <c r="G159" s="148"/>
      <c r="H159" s="135"/>
      <c r="I159" s="135"/>
      <c r="J159" s="135"/>
      <c r="K159" s="135"/>
      <c r="L159" s="148"/>
      <c r="M159" s="135"/>
      <c r="N159" s="135"/>
      <c r="O159" s="135"/>
    </row>
    <row r="160" spans="2:15">
      <c r="B160" s="136">
        <f>+B158+1</f>
        <v>82</v>
      </c>
      <c r="C160" s="137"/>
      <c r="D160" s="131" t="s">
        <v>405</v>
      </c>
      <c r="E160" s="149"/>
      <c r="F160" s="149"/>
      <c r="G160" s="148"/>
      <c r="H160" s="135"/>
      <c r="I160" s="149"/>
      <c r="J160" s="135"/>
      <c r="K160" s="135"/>
      <c r="L160" s="148"/>
      <c r="M160" s="135"/>
      <c r="N160" s="135"/>
      <c r="O160" s="135"/>
    </row>
    <row r="161" spans="2:15">
      <c r="B161" s="188">
        <f>+B160+1</f>
        <v>83</v>
      </c>
      <c r="C161" s="137"/>
      <c r="D161" s="179" t="str">
        <f>+D135</f>
        <v xml:space="preserve">  Transmission </v>
      </c>
      <c r="E161" s="146" t="s">
        <v>200</v>
      </c>
      <c r="F161" s="180"/>
      <c r="G161" s="121">
        <v>202266459.25446859</v>
      </c>
      <c r="H161" s="1109"/>
      <c r="I161" s="203" t="s">
        <v>412</v>
      </c>
      <c r="J161" s="150">
        <f>L217</f>
        <v>1</v>
      </c>
      <c r="K161" s="181"/>
      <c r="L161" s="182">
        <f>J161*G161</f>
        <v>202266459.25446859</v>
      </c>
      <c r="M161" s="181"/>
      <c r="N161" s="135"/>
      <c r="O161" s="135"/>
    </row>
    <row r="162" spans="2:15">
      <c r="B162" s="136">
        <f>+B161+1</f>
        <v>84</v>
      </c>
      <c r="C162" s="137"/>
      <c r="D162" s="131" t="s">
        <v>426</v>
      </c>
      <c r="E162" s="180" t="s">
        <v>201</v>
      </c>
      <c r="F162" s="135"/>
      <c r="G162" s="121">
        <v>17143185.334783416</v>
      </c>
      <c r="H162" s="148"/>
      <c r="I162" s="149" t="s">
        <v>422</v>
      </c>
      <c r="J162" s="150">
        <f>L235</f>
        <v>1</v>
      </c>
      <c r="K162" s="135"/>
      <c r="L162" s="148">
        <f>+J162*G162</f>
        <v>17143185.334783416</v>
      </c>
      <c r="M162" s="135"/>
      <c r="N162" s="135"/>
      <c r="O162" s="135"/>
    </row>
    <row r="163" spans="2:15">
      <c r="B163" s="136">
        <f>+B162+1</f>
        <v>85</v>
      </c>
      <c r="C163" s="137"/>
      <c r="D163" s="131" t="s">
        <v>427</v>
      </c>
      <c r="E163" s="180" t="s">
        <v>202</v>
      </c>
      <c r="F163" s="135"/>
      <c r="G163" s="121">
        <v>0</v>
      </c>
      <c r="H163" s="148"/>
      <c r="I163" s="149" t="s">
        <v>422</v>
      </c>
      <c r="J163" s="150">
        <f>L235</f>
        <v>1</v>
      </c>
      <c r="K163" s="135"/>
      <c r="L163" s="148">
        <f>+J163*G163</f>
        <v>0</v>
      </c>
      <c r="M163" s="135"/>
      <c r="N163" s="135"/>
      <c r="O163" s="135"/>
    </row>
    <row r="164" spans="2:15" ht="15.75" thickBot="1">
      <c r="B164" s="136"/>
      <c r="C164" s="137"/>
      <c r="D164" s="131"/>
      <c r="E164" s="146"/>
      <c r="F164" s="1108"/>
      <c r="G164" s="1120"/>
      <c r="H164" s="1107"/>
      <c r="I164" s="149"/>
      <c r="J164" s="150"/>
      <c r="K164" s="135"/>
      <c r="L164" s="183"/>
      <c r="M164" s="135"/>
      <c r="N164" s="135"/>
      <c r="O164" s="135"/>
    </row>
    <row r="165" spans="2:15" ht="15" customHeight="1">
      <c r="B165" s="136">
        <f>+B163+1</f>
        <v>86</v>
      </c>
      <c r="C165" s="137"/>
      <c r="D165" s="131" t="s">
        <v>96</v>
      </c>
      <c r="E165" s="204" t="str">
        <f>"(Ln "&amp;B161&amp;"+"&amp;B162&amp;"+"&amp;B163&amp;")"</f>
        <v>(Ln 83+84+85)</v>
      </c>
      <c r="F165" s="135"/>
      <c r="G165" s="148">
        <f>+G161+G162+G163+G164</f>
        <v>219409644.589252</v>
      </c>
      <c r="H165" s="135"/>
      <c r="I165" s="149"/>
      <c r="J165" s="135"/>
      <c r="K165" s="135"/>
      <c r="L165" s="148">
        <f>+L161+L162+L163+L164</f>
        <v>219409644.589252</v>
      </c>
      <c r="M165" s="135"/>
      <c r="N165" s="135"/>
      <c r="O165" s="135"/>
    </row>
    <row r="166" spans="2:15">
      <c r="B166" s="136"/>
      <c r="C166" s="137"/>
      <c r="D166" s="131"/>
      <c r="E166" s="205"/>
      <c r="F166" s="135"/>
      <c r="G166" s="148"/>
      <c r="H166" s="135"/>
      <c r="I166" s="149"/>
      <c r="J166" s="135"/>
      <c r="K166" s="135"/>
      <c r="L166" s="148"/>
      <c r="M166" s="135"/>
      <c r="N166" s="135"/>
      <c r="O166" s="135"/>
    </row>
    <row r="167" spans="2:15">
      <c r="B167" s="136">
        <f>+B165+1</f>
        <v>87</v>
      </c>
      <c r="C167" s="137"/>
      <c r="D167" s="131" t="s">
        <v>357</v>
      </c>
      <c r="E167" s="126" t="s">
        <v>203</v>
      </c>
      <c r="G167" s="148"/>
      <c r="H167" s="135"/>
      <c r="I167" s="149"/>
      <c r="J167" s="135"/>
      <c r="K167" s="135"/>
      <c r="L167" s="148"/>
      <c r="M167" s="135"/>
      <c r="N167" s="196"/>
      <c r="O167" s="135"/>
    </row>
    <row r="168" spans="2:15">
      <c r="B168" s="136">
        <f t="shared" ref="B168:B173" si="5">+B167+1</f>
        <v>88</v>
      </c>
      <c r="C168" s="137"/>
      <c r="D168" s="131" t="s">
        <v>428</v>
      </c>
      <c r="G168" s="148"/>
      <c r="H168" s="135"/>
      <c r="I168" s="149"/>
      <c r="K168" s="135"/>
      <c r="L168" s="148"/>
      <c r="M168" s="135"/>
      <c r="N168" s="135"/>
      <c r="O168" s="135"/>
    </row>
    <row r="169" spans="2:15">
      <c r="B169" s="136">
        <f t="shared" si="5"/>
        <v>89</v>
      </c>
      <c r="C169" s="137"/>
      <c r="D169" s="131" t="s">
        <v>429</v>
      </c>
      <c r="E169" s="135" t="str">
        <f>"Worksheet H ln "&amp;'WS H-p1 Other Taxes'!A43&amp;"."&amp;'WS H-p1 Other Taxes'!I10&amp;""</f>
        <v>Worksheet H ln 23.(D)</v>
      </c>
      <c r="F169" s="135"/>
      <c r="G169" s="148">
        <f>+'WS H-p1 Other Taxes'!I43</f>
        <v>0</v>
      </c>
      <c r="H169" s="148"/>
      <c r="I169" s="149" t="s">
        <v>422</v>
      </c>
      <c r="J169" s="150">
        <f>L235</f>
        <v>1</v>
      </c>
      <c r="K169" s="135"/>
      <c r="L169" s="148">
        <f>+J169*G169</f>
        <v>0</v>
      </c>
      <c r="M169" s="191"/>
      <c r="N169" s="135"/>
      <c r="O169" s="135"/>
    </row>
    <row r="170" spans="2:15">
      <c r="B170" s="136">
        <f t="shared" si="5"/>
        <v>90</v>
      </c>
      <c r="C170" s="137"/>
      <c r="D170" s="131" t="s">
        <v>430</v>
      </c>
      <c r="E170" s="135" t="s">
        <v>406</v>
      </c>
      <c r="F170" s="135"/>
      <c r="G170" s="148"/>
      <c r="H170" s="148"/>
      <c r="I170" s="149"/>
      <c r="K170" s="135"/>
      <c r="L170" s="148"/>
      <c r="M170" s="135"/>
      <c r="N170" s="135"/>
      <c r="O170" s="135"/>
    </row>
    <row r="171" spans="2:15">
      <c r="B171" s="136">
        <f t="shared" si="5"/>
        <v>91</v>
      </c>
      <c r="C171" s="137"/>
      <c r="D171" s="131" t="s">
        <v>431</v>
      </c>
      <c r="E171" s="135" t="str">
        <f>"Worksheet H-p2 ln "&amp;'WS H-p2 Detail of Tax Amts'!A22&amp;"."&amp;'WS H-p2 Detail of Tax Amts'!E19&amp; " &amp; ln "&amp;'WS H-p2 Detail of Tax Amts'!A22&amp;"."&amp;'WS H-p2 Detail of Tax Amts'!I19&amp;""</f>
        <v>Worksheet H-p2 ln 3.(C) &amp; ln 3.(G)</v>
      </c>
      <c r="F171" s="135"/>
      <c r="G171" s="148">
        <f>'WS H-p2 Detail of Tax Amts'!E22</f>
        <v>274819999.99999994</v>
      </c>
      <c r="H171" s="148"/>
      <c r="I171" s="149" t="s">
        <v>420</v>
      </c>
      <c r="J171" s="150">
        <v>1</v>
      </c>
      <c r="K171" s="135"/>
      <c r="L171" s="148">
        <f>'WS H-p2 Detail of Tax Amts'!I22</f>
        <v>274819999.99999994</v>
      </c>
      <c r="M171" s="206"/>
      <c r="N171" s="196"/>
      <c r="O171" s="135"/>
    </row>
    <row r="172" spans="2:15">
      <c r="B172" s="136">
        <f t="shared" si="5"/>
        <v>92</v>
      </c>
      <c r="C172" s="137"/>
      <c r="D172" s="131" t="s">
        <v>482</v>
      </c>
      <c r="E172" s="135" t="str">
        <f>"Worksheet H ln "&amp;'WS H-p1 Other Taxes'!A43&amp;"."&amp;'WS H-p1 Other Taxes'!M10&amp;""</f>
        <v>Worksheet H ln 23.(F)</v>
      </c>
      <c r="F172" s="135"/>
      <c r="G172" s="148">
        <f>+'WS H-p1 Other Taxes'!M43</f>
        <v>4560</v>
      </c>
      <c r="H172" s="41"/>
      <c r="I172" s="149" t="s">
        <v>418</v>
      </c>
      <c r="J172" s="150">
        <v>0</v>
      </c>
      <c r="K172" s="135"/>
      <c r="L172" s="148">
        <f>+J172*G172</f>
        <v>0</v>
      </c>
      <c r="M172" s="135"/>
      <c r="N172" s="135"/>
      <c r="O172" s="135"/>
    </row>
    <row r="173" spans="2:15" ht="15.75" thickBot="1">
      <c r="B173" s="136">
        <f t="shared" si="5"/>
        <v>93</v>
      </c>
      <c r="C173" s="137"/>
      <c r="D173" s="131" t="s">
        <v>432</v>
      </c>
      <c r="E173" s="135" t="str">
        <f>"Worksheet H ln "&amp;'WS H-p1 Other Taxes'!A43&amp;"."&amp;'WS H-p1 Other Taxes'!K10&amp;""</f>
        <v>Worksheet H ln 23.(E)</v>
      </c>
      <c r="F173" s="135"/>
      <c r="G173" s="183">
        <f>+'WS H-p1 Other Taxes'!K43</f>
        <v>0</v>
      </c>
      <c r="H173" s="41"/>
      <c r="I173" s="149" t="s">
        <v>752</v>
      </c>
      <c r="J173" s="150">
        <f>J70</f>
        <v>1</v>
      </c>
      <c r="K173" s="135"/>
      <c r="L173" s="183">
        <f>+J173*G173</f>
        <v>0</v>
      </c>
      <c r="M173" s="135"/>
      <c r="N173" s="135"/>
      <c r="O173" s="135"/>
    </row>
    <row r="174" spans="2:15">
      <c r="B174" s="136">
        <f>+B173+1</f>
        <v>94</v>
      </c>
      <c r="C174" s="137"/>
      <c r="D174" s="131" t="s">
        <v>358</v>
      </c>
      <c r="E174" s="146" t="str">
        <f>"(sum lns "&amp;B169&amp;" to "&amp;B173&amp;")"</f>
        <v>(sum lns 89 to 93)</v>
      </c>
      <c r="F174" s="135"/>
      <c r="G174" s="148">
        <f>SUM(G169:G173)</f>
        <v>274824559.99999994</v>
      </c>
      <c r="H174" s="135"/>
      <c r="I174" s="149"/>
      <c r="J174" s="207"/>
      <c r="K174" s="135"/>
      <c r="L174" s="148">
        <f>SUM(L169:L173)</f>
        <v>274819999.99999994</v>
      </c>
      <c r="M174" s="135"/>
      <c r="N174" s="135"/>
      <c r="O174" s="135"/>
    </row>
    <row r="175" spans="2:15">
      <c r="B175" s="136"/>
      <c r="C175" s="137"/>
      <c r="D175" s="131"/>
      <c r="E175" s="135"/>
      <c r="F175" s="135"/>
      <c r="G175" s="135"/>
      <c r="H175" s="135"/>
      <c r="I175" s="149"/>
      <c r="J175" s="207"/>
      <c r="K175" s="135"/>
      <c r="L175" s="135"/>
      <c r="M175" s="208"/>
      <c r="N175" s="135"/>
      <c r="O175" s="135"/>
    </row>
    <row r="176" spans="2:15">
      <c r="B176" s="136">
        <f>+B174+1</f>
        <v>95</v>
      </c>
      <c r="C176" s="137"/>
      <c r="D176" s="131" t="s">
        <v>131</v>
      </c>
      <c r="E176" s="135" t="s">
        <v>204</v>
      </c>
      <c r="F176" s="209"/>
      <c r="G176" s="135"/>
      <c r="H176" s="41"/>
      <c r="I176" s="197"/>
      <c r="K176" s="135"/>
      <c r="L176" s="210"/>
      <c r="M176" s="135"/>
      <c r="N176" s="135"/>
      <c r="O176" s="135"/>
    </row>
    <row r="177" spans="2:15">
      <c r="B177" s="136">
        <f t="shared" ref="B177:B182" si="6">+B176+1</f>
        <v>96</v>
      </c>
      <c r="C177" s="137"/>
      <c r="D177" s="191" t="s">
        <v>132</v>
      </c>
      <c r="E177" s="135"/>
      <c r="F177" s="211"/>
      <c r="G177" s="212">
        <f>IF(F356&gt;0,1-(((1-F357)*(1-F356))/(1-F357*F356*F358)),0)</f>
        <v>0.21189599999999997</v>
      </c>
      <c r="H177" s="213"/>
      <c r="I177" s="213"/>
      <c r="K177" s="214"/>
      <c r="L177" s="210"/>
      <c r="M177" s="135"/>
      <c r="N177" s="135"/>
      <c r="O177" s="135"/>
    </row>
    <row r="178" spans="2:15">
      <c r="B178" s="136">
        <f t="shared" si="6"/>
        <v>97</v>
      </c>
      <c r="C178" s="137"/>
      <c r="D178" s="126" t="s">
        <v>133</v>
      </c>
      <c r="E178" s="135"/>
      <c r="F178" s="211"/>
      <c r="G178" s="212">
        <f>IF(L249&gt;0,($G177/(1-$G177))*(1-$L249/$L252),0)</f>
        <v>0.19604313460260026</v>
      </c>
      <c r="H178" s="213"/>
      <c r="I178" s="213"/>
      <c r="K178" s="214"/>
      <c r="L178" s="210"/>
      <c r="M178" s="135"/>
      <c r="N178" s="135"/>
      <c r="O178" s="135"/>
    </row>
    <row r="179" spans="2:15">
      <c r="B179" s="136">
        <f t="shared" si="6"/>
        <v>98</v>
      </c>
      <c r="C179" s="137"/>
      <c r="D179" s="131" t="str">
        <f>"       where WCLTD=(ln "&amp;B249&amp;") and WACC = (ln "&amp;B252&amp;")"</f>
        <v xml:space="preserve">       where WCLTD=(ln 136) and WACC = (ln 139)</v>
      </c>
      <c r="E179" s="135"/>
      <c r="F179" s="209"/>
      <c r="G179" s="135"/>
      <c r="H179" s="213"/>
      <c r="I179" s="213"/>
      <c r="J179" s="215"/>
      <c r="K179" s="214"/>
      <c r="L179" s="216"/>
      <c r="M179" s="135"/>
      <c r="N179" s="135"/>
      <c r="O179" s="135"/>
    </row>
    <row r="180" spans="2:15">
      <c r="B180" s="136">
        <f t="shared" si="6"/>
        <v>99</v>
      </c>
      <c r="C180" s="137"/>
      <c r="D180" s="131" t="s">
        <v>205</v>
      </c>
      <c r="E180" s="217"/>
      <c r="F180" s="211"/>
      <c r="G180" s="135"/>
      <c r="H180" s="41"/>
      <c r="I180" s="197"/>
      <c r="J180" s="215"/>
      <c r="K180" s="214"/>
      <c r="L180" s="210"/>
      <c r="M180" s="135"/>
      <c r="N180" s="135"/>
      <c r="O180" s="135"/>
    </row>
    <row r="181" spans="2:15">
      <c r="B181" s="136">
        <f t="shared" si="6"/>
        <v>100</v>
      </c>
      <c r="C181" s="137"/>
      <c r="D181" s="191" t="str">
        <f>"      GRCF=1 / (1 - T)  = (from ln "&amp;B177&amp;")"</f>
        <v xml:space="preserve">      GRCF=1 / (1 - T)  = (from ln 96)</v>
      </c>
      <c r="E181" s="209"/>
      <c r="F181" s="209"/>
      <c r="G181" s="218">
        <f>IF(G177&gt;0,1/(1-G177),0)</f>
        <v>1.2688680681737434</v>
      </c>
      <c r="H181" s="41"/>
      <c r="I181" s="160"/>
      <c r="J181" s="219"/>
      <c r="K181" s="220"/>
      <c r="L181" s="221"/>
      <c r="M181" s="135"/>
      <c r="N181" s="135"/>
      <c r="O181" s="135"/>
    </row>
    <row r="182" spans="2:15">
      <c r="B182" s="136">
        <f t="shared" si="6"/>
        <v>101</v>
      </c>
      <c r="C182" s="137"/>
      <c r="D182" s="131" t="s">
        <v>134</v>
      </c>
      <c r="E182" s="185" t="s">
        <v>292</v>
      </c>
      <c r="F182" s="209"/>
      <c r="G182" s="121">
        <v>0</v>
      </c>
      <c r="H182" s="3"/>
      <c r="I182" s="160"/>
      <c r="J182" s="907"/>
      <c r="K182" s="148"/>
      <c r="M182" s="149"/>
      <c r="N182" s="135"/>
      <c r="O182" s="135"/>
    </row>
    <row r="183" spans="2:15">
      <c r="B183" s="136">
        <f t="shared" ref="B183:B189" si="7">+B182+1</f>
        <v>102</v>
      </c>
      <c r="C183" s="137"/>
      <c r="D183" s="131" t="s">
        <v>550</v>
      </c>
      <c r="E183" s="135" t="s">
        <v>753</v>
      </c>
      <c r="F183" s="211"/>
      <c r="G183" s="121">
        <v>399740.0575024311</v>
      </c>
      <c r="H183" s="3"/>
      <c r="I183" s="162" t="s">
        <v>634</v>
      </c>
      <c r="J183" s="150">
        <f>NP_h</f>
        <v>1</v>
      </c>
      <c r="K183" s="148"/>
      <c r="L183" s="148">
        <f>+G183*J183</f>
        <v>399740.0575024311</v>
      </c>
      <c r="M183" s="135"/>
      <c r="N183" s="135"/>
      <c r="O183" s="135"/>
    </row>
    <row r="184" spans="2:15">
      <c r="B184" s="136">
        <f t="shared" si="7"/>
        <v>103</v>
      </c>
      <c r="C184" s="137"/>
      <c r="D184" s="131" t="s">
        <v>633</v>
      </c>
      <c r="E184" s="135" t="s">
        <v>753</v>
      </c>
      <c r="F184" s="211"/>
      <c r="G184" s="121">
        <v>1090821.4640269801</v>
      </c>
      <c r="H184" s="3"/>
      <c r="I184" s="162" t="s">
        <v>634</v>
      </c>
      <c r="J184" s="150">
        <f>NP_h</f>
        <v>1</v>
      </c>
      <c r="K184" s="148"/>
      <c r="L184" s="148">
        <f>+G184*J184</f>
        <v>1090821.4640269801</v>
      </c>
      <c r="M184" s="135"/>
      <c r="N184" s="135"/>
      <c r="O184" s="135"/>
    </row>
    <row r="185" spans="2:15">
      <c r="B185" s="136">
        <f t="shared" si="7"/>
        <v>104</v>
      </c>
      <c r="C185" s="137"/>
      <c r="D185" s="191" t="s">
        <v>135</v>
      </c>
      <c r="E185" s="222" t="str">
        <f>"(ln "&amp;B178&amp;" * ln "&amp;B191&amp;")"</f>
        <v>(ln 97 * ln 109)</v>
      </c>
      <c r="F185" s="223"/>
      <c r="G185" s="148">
        <f>+G178*G191</f>
        <v>79813654.98575744</v>
      </c>
      <c r="H185" s="3"/>
      <c r="I185" s="160"/>
      <c r="J185" s="901"/>
      <c r="K185" s="148"/>
      <c r="L185" s="148">
        <f>+L191*G178</f>
        <v>79951066.209212199</v>
      </c>
      <c r="M185" s="135"/>
      <c r="N185" s="135"/>
      <c r="O185" s="135"/>
    </row>
    <row r="186" spans="2:15">
      <c r="B186" s="136">
        <f t="shared" si="7"/>
        <v>105</v>
      </c>
      <c r="C186" s="137"/>
      <c r="D186" s="126" t="s">
        <v>136</v>
      </c>
      <c r="E186" s="222" t="str">
        <f>"(ln "&amp;B181&amp;" * ln "&amp;B182&amp;")"</f>
        <v>(ln 100 * ln 101)</v>
      </c>
      <c r="F186" s="222"/>
      <c r="G186" s="148">
        <f>G181*G182</f>
        <v>0</v>
      </c>
      <c r="H186" s="3"/>
      <c r="I186" s="162" t="s">
        <v>634</v>
      </c>
      <c r="J186" s="150">
        <f>NP_h</f>
        <v>1</v>
      </c>
      <c r="K186" s="148"/>
      <c r="L186" s="148">
        <f>+G186*J186</f>
        <v>0</v>
      </c>
      <c r="M186" s="135"/>
      <c r="N186" s="135"/>
      <c r="O186" s="135"/>
    </row>
    <row r="187" spans="2:15">
      <c r="B187" s="136">
        <f t="shared" si="7"/>
        <v>106</v>
      </c>
      <c r="C187" s="137"/>
      <c r="D187" s="126" t="s">
        <v>550</v>
      </c>
      <c r="E187" s="222" t="str">
        <f>"(ln "&amp;B181&amp;" * ln "&amp;B183&amp;")"</f>
        <v>(ln 100 * ln 102)</v>
      </c>
      <c r="F187" s="222"/>
      <c r="G187" s="148">
        <f>G181*G183</f>
        <v>507217.39453477086</v>
      </c>
      <c r="H187" s="3"/>
      <c r="I187" s="162"/>
      <c r="J187" s="150"/>
      <c r="K187" s="148"/>
      <c r="L187" s="148">
        <f>G181*L183</f>
        <v>507217.39453477086</v>
      </c>
      <c r="M187" s="135"/>
      <c r="N187" s="135"/>
      <c r="O187" s="135"/>
    </row>
    <row r="188" spans="2:15">
      <c r="B188" s="136">
        <f t="shared" si="7"/>
        <v>107</v>
      </c>
      <c r="C188" s="137"/>
      <c r="D188" s="131" t="s">
        <v>633</v>
      </c>
      <c r="E188" s="222" t="str">
        <f>"(ln "&amp;B181&amp;" * ln "&amp;B184&amp;")"</f>
        <v>(ln 100 * ln 103)</v>
      </c>
      <c r="F188" s="222"/>
      <c r="G188" s="902">
        <f>G181*G184</f>
        <v>1384108.5237823687</v>
      </c>
      <c r="H188" s="3"/>
      <c r="I188" s="162"/>
      <c r="J188" s="150"/>
      <c r="K188" s="148"/>
      <c r="L188" s="902">
        <f>G181*L184</f>
        <v>1384108.5237823687</v>
      </c>
      <c r="M188" s="135"/>
      <c r="N188" s="135"/>
      <c r="O188" s="135"/>
    </row>
    <row r="189" spans="2:15">
      <c r="B189" s="188">
        <f t="shared" si="7"/>
        <v>108</v>
      </c>
      <c r="C189" s="137"/>
      <c r="D189" s="191" t="s">
        <v>359</v>
      </c>
      <c r="E189" s="135" t="str">
        <f>"(sum lns "&amp;B185&amp;" to "&amp;B188&amp;")"</f>
        <v>(sum lns 104 to 107)</v>
      </c>
      <c r="F189" s="222"/>
      <c r="G189" s="162">
        <f>SUM(G185:G188)</f>
        <v>81704980.904074579</v>
      </c>
      <c r="H189" s="41"/>
      <c r="I189" s="160" t="s">
        <v>406</v>
      </c>
      <c r="J189" s="224"/>
      <c r="K189" s="148"/>
      <c r="L189" s="162">
        <f>SUM(L185:L188)</f>
        <v>81842392.127529338</v>
      </c>
      <c r="M189" s="135"/>
      <c r="N189" s="135"/>
      <c r="O189" s="135"/>
    </row>
    <row r="190" spans="2:15">
      <c r="B190" s="188"/>
      <c r="C190" s="137"/>
      <c r="D190" s="191"/>
      <c r="E190" s="135"/>
      <c r="F190" s="222"/>
      <c r="G190" s="162"/>
      <c r="H190" s="41"/>
      <c r="I190" s="160"/>
      <c r="J190" s="224"/>
      <c r="K190" s="148"/>
      <c r="L190" s="162"/>
      <c r="M190" s="135"/>
      <c r="N190" s="135"/>
      <c r="O190" s="135"/>
    </row>
    <row r="191" spans="2:15">
      <c r="B191" s="188">
        <f>+B189+1</f>
        <v>109</v>
      </c>
      <c r="C191" s="137"/>
      <c r="D191" s="191" t="s">
        <v>481</v>
      </c>
      <c r="E191" s="191" t="str">
        <f>"(ln "&amp;B118&amp;" * ln "&amp;B252&amp;")"</f>
        <v>(ln 58 * ln 139)</v>
      </c>
      <c r="F191" s="187"/>
      <c r="G191" s="225">
        <f>+$L252*G118</f>
        <v>407122928.06145948</v>
      </c>
      <c r="H191" s="135"/>
      <c r="I191" s="160"/>
      <c r="J191" s="148"/>
      <c r="K191" s="148"/>
      <c r="L191" s="225">
        <f>+L252*L118</f>
        <v>407823851.47677469</v>
      </c>
      <c r="M191" s="135"/>
      <c r="N191" s="210"/>
      <c r="O191" s="210"/>
    </row>
    <row r="192" spans="2:15">
      <c r="B192" s="136"/>
      <c r="C192" s="137"/>
      <c r="D192" s="191"/>
      <c r="G192" s="148"/>
      <c r="H192" s="148"/>
      <c r="I192" s="160"/>
      <c r="J192" s="160"/>
      <c r="K192" s="148"/>
      <c r="L192" s="148"/>
      <c r="M192" s="135"/>
    </row>
    <row r="193" spans="2:13">
      <c r="B193" s="136">
        <f>+B191+1</f>
        <v>110</v>
      </c>
      <c r="C193" s="137"/>
      <c r="D193" s="226" t="s">
        <v>390</v>
      </c>
      <c r="F193" s="180"/>
      <c r="G193" s="148">
        <f>-'WS D IPP Credits'!C13</f>
        <v>0</v>
      </c>
      <c r="H193" s="148"/>
      <c r="I193" s="193" t="s">
        <v>420</v>
      </c>
      <c r="J193" s="150">
        <v>1</v>
      </c>
      <c r="K193" s="182"/>
      <c r="L193" s="148">
        <f>+J193*G193</f>
        <v>0</v>
      </c>
      <c r="M193" s="181"/>
    </row>
    <row r="194" spans="2:13">
      <c r="B194" s="136"/>
      <c r="C194" s="137"/>
      <c r="D194" s="226"/>
      <c r="F194" s="180"/>
      <c r="G194" s="148"/>
      <c r="H194" s="148"/>
      <c r="I194" s="193"/>
      <c r="J194" s="150"/>
      <c r="K194" s="182"/>
      <c r="L194" s="148"/>
      <c r="M194" s="181"/>
    </row>
    <row r="195" spans="2:13">
      <c r="B195" s="136">
        <f>+B193+1</f>
        <v>111</v>
      </c>
      <c r="C195" s="137"/>
      <c r="D195" s="226" t="str">
        <f>"(Gains) / Losses on Sales of Plant Held for Future Use (Worksheet N, ln "&amp;'WS N - Sale of Plant Held'!A33&amp;", Cols. ("&amp;'WS N - Sale of Plant Held'!O12&amp;" &amp; "&amp;'WS N - Sale of Plant Held'!S12&amp;")"</f>
        <v>(Gains) / Losses on Sales of Plant Held for Future Use (Worksheet N, ln 4, Cols. ((F) &amp; (H))</v>
      </c>
      <c r="F195" s="180"/>
      <c r="G195" s="148">
        <f>+'WS N - Sale of Plant Held'!O33</f>
        <v>0</v>
      </c>
      <c r="H195" s="148"/>
      <c r="I195" s="193"/>
      <c r="J195" s="150"/>
      <c r="K195" s="182"/>
      <c r="L195" s="148">
        <f>'WS N - Sale of Plant Held'!S33</f>
        <v>0</v>
      </c>
      <c r="M195" s="181"/>
    </row>
    <row r="196" spans="2:13">
      <c r="B196" s="136"/>
      <c r="C196" s="137"/>
      <c r="D196" s="226"/>
      <c r="F196" s="180"/>
      <c r="G196" s="148"/>
      <c r="H196" s="148"/>
      <c r="I196" s="193"/>
      <c r="J196" s="150"/>
      <c r="K196" s="182"/>
      <c r="L196" s="148"/>
      <c r="M196" s="181"/>
    </row>
    <row r="197" spans="2:13">
      <c r="B197" s="136">
        <f>+B195+1</f>
        <v>112</v>
      </c>
      <c r="C197" s="137"/>
      <c r="D197" s="226" t="str">
        <f>" Tax Impact on Net Loss / (Gain) on Sales of Plant Held for Future Use (ln "&amp;B195&amp;" * ln"&amp;B178&amp;")"</f>
        <v xml:space="preserve"> Tax Impact on Net Loss / (Gain) on Sales of Plant Held for Future Use (ln 111 * ln97)</v>
      </c>
      <c r="F197" s="180"/>
      <c r="G197" s="148">
        <f>-+G178*G195</f>
        <v>0</v>
      </c>
      <c r="H197" s="148"/>
      <c r="I197" s="193"/>
      <c r="J197" s="150"/>
      <c r="K197" s="182"/>
      <c r="L197" s="148">
        <f>L195*-G178</f>
        <v>0</v>
      </c>
      <c r="M197" s="181"/>
    </row>
    <row r="198" spans="2:13" ht="15.75" thickBot="1">
      <c r="B198" s="136"/>
      <c r="C198" s="137"/>
      <c r="D198" s="131"/>
      <c r="G198" s="183"/>
      <c r="H198" s="227"/>
      <c r="I198" s="160"/>
      <c r="J198" s="160"/>
      <c r="K198" s="148"/>
      <c r="L198" s="183"/>
      <c r="M198" s="135"/>
    </row>
    <row r="199" spans="2:13" ht="15.75" thickBot="1">
      <c r="B199" s="136">
        <f>+B197+1</f>
        <v>113</v>
      </c>
      <c r="C199" s="137"/>
      <c r="D199" s="126" t="s">
        <v>40</v>
      </c>
      <c r="G199" s="228">
        <f>+G193+G191+G189+G174+G165+G158+G195+G197</f>
        <v>1059683014.993131</v>
      </c>
      <c r="L199" s="228">
        <f>+L193+L191+L189+L174+L165+L158+L195+L197</f>
        <v>1060516789.631901</v>
      </c>
      <c r="M199" s="135"/>
    </row>
    <row r="200" spans="2:13" ht="15.75" thickTop="1">
      <c r="B200" s="136"/>
      <c r="C200" s="137"/>
      <c r="D200" s="131" t="str">
        <f>"    (sum lns "&amp;B158&amp;", "&amp;B165&amp;", "&amp;B174&amp;", "&amp;B189&amp;", "&amp;B191&amp;", "&amp;B193&amp;", "&amp;B195&amp;", "&amp;B197&amp;")"</f>
        <v xml:space="preserve">    (sum lns 81, 86, 94, 108, 109, 110, 111, 112)</v>
      </c>
      <c r="F200" s="144"/>
      <c r="M200" s="135"/>
    </row>
    <row r="201" spans="2:13">
      <c r="B201" s="136"/>
      <c r="C201" s="137"/>
      <c r="F201" s="144"/>
      <c r="M201" s="135"/>
    </row>
    <row r="202" spans="2:13">
      <c r="B202" s="136"/>
      <c r="C202" s="137"/>
      <c r="D202" s="131"/>
      <c r="F202" s="197" t="str">
        <f>F121</f>
        <v>AEPTCo subsidiaries in PJM</v>
      </c>
      <c r="M202" s="196"/>
    </row>
    <row r="203" spans="2:13">
      <c r="B203" s="136"/>
      <c r="C203" s="137"/>
      <c r="D203" s="131"/>
      <c r="F203" s="197" t="str">
        <f>F122</f>
        <v>Transmission Cost of Service Formula Rate</v>
      </c>
      <c r="M203" s="196"/>
    </row>
    <row r="204" spans="2:13">
      <c r="B204" s="126"/>
      <c r="C204" s="137"/>
      <c r="F204" s="197" t="str">
        <f>F123</f>
        <v>Utilizing  Actual/Projected FERC Form 1 Data</v>
      </c>
      <c r="M204" s="166"/>
    </row>
    <row r="205" spans="2:13">
      <c r="B205" s="136"/>
      <c r="C205" s="137"/>
      <c r="E205" s="197"/>
      <c r="F205" s="197"/>
      <c r="G205" s="197"/>
      <c r="H205" s="197"/>
      <c r="I205" s="197"/>
      <c r="J205" s="197"/>
      <c r="K205" s="197"/>
      <c r="M205" s="135"/>
    </row>
    <row r="206" spans="2:13">
      <c r="B206" s="136"/>
      <c r="C206" s="137"/>
      <c r="E206" s="131"/>
      <c r="F206" s="197" t="str">
        <f>F125</f>
        <v>AEP Ohio Transmission Company</v>
      </c>
      <c r="G206" s="131"/>
      <c r="H206" s="131"/>
      <c r="I206" s="131"/>
      <c r="J206" s="131"/>
      <c r="K206" s="131"/>
      <c r="L206" s="131"/>
      <c r="M206" s="131"/>
    </row>
    <row r="207" spans="2:13">
      <c r="B207" s="136"/>
      <c r="C207" s="137"/>
      <c r="E207" s="131"/>
      <c r="F207" s="197"/>
      <c r="G207" s="131"/>
      <c r="H207" s="131"/>
      <c r="I207" s="131"/>
      <c r="J207" s="131"/>
      <c r="K207" s="131"/>
      <c r="L207" s="131"/>
      <c r="M207" s="131"/>
    </row>
    <row r="208" spans="2:13" ht="15.75">
      <c r="B208" s="136"/>
      <c r="C208" s="137"/>
      <c r="F208" s="198" t="s">
        <v>364</v>
      </c>
      <c r="H208" s="131"/>
      <c r="I208" s="131"/>
      <c r="J208" s="131"/>
      <c r="K208" s="131"/>
      <c r="L208" s="131"/>
      <c r="M208" s="135"/>
    </row>
    <row r="209" spans="2:16" ht="15.75">
      <c r="B209" s="136"/>
      <c r="C209" s="137"/>
      <c r="D209" s="229"/>
      <c r="E209" s="131"/>
      <c r="F209" s="131"/>
      <c r="G209" s="131"/>
      <c r="H209" s="131"/>
      <c r="I209" s="131"/>
      <c r="J209" s="131"/>
      <c r="K209" s="131"/>
      <c r="L209" s="131"/>
      <c r="M209" s="135"/>
    </row>
    <row r="210" spans="2:16" ht="15.75">
      <c r="B210" s="136" t="s">
        <v>408</v>
      </c>
      <c r="C210" s="137"/>
      <c r="D210" s="229"/>
      <c r="E210" s="131"/>
      <c r="F210" s="131"/>
      <c r="G210" s="131"/>
      <c r="H210" s="131"/>
      <c r="I210" s="131"/>
      <c r="J210" s="131"/>
      <c r="K210" s="131"/>
      <c r="L210" s="131"/>
      <c r="M210" s="135"/>
    </row>
    <row r="211" spans="2:16" ht="15.75" thickBot="1">
      <c r="B211" s="142" t="s">
        <v>409</v>
      </c>
      <c r="C211" s="137"/>
      <c r="D211" s="131" t="s">
        <v>502</v>
      </c>
      <c r="E211" s="131"/>
      <c r="F211" s="131"/>
      <c r="G211" s="131"/>
      <c r="H211" s="131"/>
      <c r="I211" s="131"/>
      <c r="J211" s="131"/>
      <c r="M211" s="135"/>
      <c r="P211"/>
    </row>
    <row r="212" spans="2:16">
      <c r="B212" s="136">
        <f>+B199+1</f>
        <v>114</v>
      </c>
      <c r="C212" s="137"/>
      <c r="D212" s="131" t="s">
        <v>456</v>
      </c>
      <c r="E212" s="230" t="str">
        <f>"(ln "&amp;B63&amp;")"</f>
        <v>(ln 19)</v>
      </c>
      <c r="F212" s="131"/>
      <c r="H212" s="135"/>
      <c r="I212" s="135"/>
      <c r="J212" s="135"/>
      <c r="K212" s="135"/>
      <c r="L212" s="148">
        <f>+G63</f>
        <v>6935189789.4374428</v>
      </c>
      <c r="M212" s="135"/>
      <c r="P212"/>
    </row>
    <row r="213" spans="2:16">
      <c r="B213" s="136">
        <f>+B212+1</f>
        <v>115</v>
      </c>
      <c r="C213" s="137"/>
      <c r="D213" s="131" t="str">
        <f>"  Less transmission plant excluded from PJM Tariff  (Worksheet A, ln "&amp;'WS A - Rate Base Support'!A62&amp;"."&amp;'WS A - Rate Base Support'!E47&amp;") (Note P)"</f>
        <v xml:space="preserve">  Less transmission plant excluded from PJM Tariff  (Worksheet A, ln 42.(d)) (Note P)</v>
      </c>
      <c r="G213" s="197"/>
      <c r="L213" s="115">
        <f>'WS A - Rate Base Support'!E62</f>
        <v>0</v>
      </c>
      <c r="M213" s="135"/>
      <c r="P213"/>
    </row>
    <row r="214" spans="2:16" ht="36" customHeight="1" thickBot="1">
      <c r="B214" s="136">
        <f>+B213+1</f>
        <v>116</v>
      </c>
      <c r="C214" s="137"/>
      <c r="D214" s="131" t="str">
        <f>"  Less transmission plant included in OATT Ancillary Services (Worksheet A, ln "&amp;'WS A - Rate Base Support'!A62&amp;", Col. "&amp;'WS A - Rate Base Support'!C47&amp;")  (Note Q)"</f>
        <v xml:space="preserve">  Less transmission plant included in OATT Ancillary Services (Worksheet A, ln 42, Col. (b))  (Note Q)</v>
      </c>
      <c r="E214" s="131"/>
      <c r="F214" s="131"/>
      <c r="G214" s="149"/>
      <c r="H214" s="135"/>
      <c r="I214" s="135"/>
      <c r="J214" s="149"/>
      <c r="K214" s="135"/>
      <c r="L214" s="183">
        <f>'WS A - Rate Base Support'!C62</f>
        <v>0</v>
      </c>
      <c r="M214" s="135"/>
      <c r="P214"/>
    </row>
    <row r="215" spans="2:16">
      <c r="B215" s="136">
        <f>+B214+1</f>
        <v>117</v>
      </c>
      <c r="C215" s="137"/>
      <c r="D215" s="131" t="s">
        <v>503</v>
      </c>
      <c r="E215" s="146" t="str">
        <f>"(ln "&amp;B212&amp;" - ln "&amp;B213&amp;" - ln "&amp;B214&amp;")"</f>
        <v>(ln 114 - ln 115 - ln 116)</v>
      </c>
      <c r="F215" s="131"/>
      <c r="H215" s="135"/>
      <c r="I215" s="135"/>
      <c r="J215" s="149"/>
      <c r="K215" s="135"/>
      <c r="L215" s="148">
        <f>L212-L213-L214</f>
        <v>6935189789.4374428</v>
      </c>
      <c r="M215" s="135"/>
      <c r="P215"/>
    </row>
    <row r="216" spans="2:16" ht="9" customHeight="1">
      <c r="B216" s="136"/>
      <c r="C216" s="137"/>
      <c r="E216" s="131"/>
      <c r="F216" s="131"/>
      <c r="G216" s="149"/>
      <c r="H216" s="135"/>
      <c r="I216" s="135"/>
      <c r="J216" s="149"/>
      <c r="K216" s="135"/>
      <c r="M216" s="135"/>
      <c r="P216"/>
    </row>
    <row r="217" spans="2:16" ht="15.75" customHeight="1">
      <c r="B217" s="136">
        <f>+B215+1</f>
        <v>118</v>
      </c>
      <c r="C217" s="137"/>
      <c r="D217" s="131" t="s">
        <v>504</v>
      </c>
      <c r="E217" s="137" t="str">
        <f>"(ln "&amp;B215&amp;" / ln "&amp;B212&amp;")"</f>
        <v>(ln 117 / ln 114)</v>
      </c>
      <c r="F217" s="140"/>
      <c r="H217" s="140"/>
      <c r="I217" s="138"/>
      <c r="J217" s="138"/>
      <c r="K217" s="189" t="s">
        <v>433</v>
      </c>
      <c r="L217" s="231">
        <f>IF(L212=0,1,L215/L212)</f>
        <v>1</v>
      </c>
      <c r="M217" s="135"/>
      <c r="P217"/>
    </row>
    <row r="218" spans="2:16" ht="15.75">
      <c r="B218" s="136"/>
      <c r="C218" s="137"/>
      <c r="D218" s="229"/>
      <c r="E218" s="131"/>
      <c r="F218" s="131"/>
      <c r="G218" s="135"/>
      <c r="H218" s="131"/>
      <c r="I218" s="137"/>
      <c r="J218" s="131"/>
      <c r="K218" s="131"/>
      <c r="L218" s="131"/>
      <c r="M218" s="135"/>
    </row>
    <row r="219" spans="2:16">
      <c r="B219" s="136"/>
      <c r="C219" s="137"/>
      <c r="D219" s="131"/>
      <c r="E219" s="131"/>
      <c r="F219" s="131"/>
      <c r="G219" s="135"/>
      <c r="H219" s="131"/>
      <c r="I219" s="137"/>
      <c r="J219" s="131"/>
      <c r="K219" s="131"/>
      <c r="L219" s="131"/>
      <c r="M219" s="135"/>
    </row>
    <row r="220" spans="2:16" ht="15.75">
      <c r="B220" s="136"/>
      <c r="C220" s="137"/>
      <c r="D220" s="229"/>
      <c r="E220" s="131"/>
      <c r="F220" s="131"/>
      <c r="G220" s="135"/>
      <c r="H220" s="131"/>
      <c r="I220" s="137"/>
      <c r="J220" s="131"/>
      <c r="K220" s="131"/>
      <c r="L220" s="148"/>
      <c r="M220" s="135"/>
    </row>
    <row r="221" spans="2:16" ht="15.75">
      <c r="B221" s="136"/>
      <c r="C221" s="137"/>
      <c r="D221" s="229"/>
      <c r="E221" s="131"/>
      <c r="F221" s="131"/>
      <c r="G221" s="135"/>
      <c r="H221" s="131"/>
      <c r="I221" s="137"/>
      <c r="J221" s="131"/>
      <c r="K221" s="131"/>
      <c r="L221" s="131"/>
      <c r="M221" s="135"/>
    </row>
    <row r="222" spans="2:16" ht="15.75">
      <c r="B222" s="136"/>
      <c r="C222" s="137"/>
      <c r="D222" s="229"/>
      <c r="E222" s="131"/>
      <c r="F222" s="131"/>
      <c r="G222" s="135"/>
      <c r="H222" s="131"/>
      <c r="I222" s="137"/>
      <c r="J222" s="131"/>
      <c r="K222" s="131"/>
      <c r="L222" s="131"/>
      <c r="M222" s="135"/>
    </row>
    <row r="223" spans="2:16" ht="15.75">
      <c r="B223" s="136"/>
      <c r="C223" s="137"/>
      <c r="D223" s="229"/>
      <c r="E223" s="131"/>
      <c r="F223" s="131"/>
      <c r="G223" s="135"/>
      <c r="H223" s="131"/>
      <c r="I223" s="137"/>
      <c r="J223" s="131"/>
      <c r="K223" s="131"/>
      <c r="L223" s="131"/>
      <c r="M223" s="135"/>
    </row>
    <row r="224" spans="2:16" ht="15.75">
      <c r="B224" s="136"/>
      <c r="C224" s="137"/>
      <c r="D224" s="131"/>
      <c r="E224" s="131"/>
      <c r="F224" s="131"/>
      <c r="G224" s="135"/>
      <c r="H224" s="131"/>
      <c r="I224" s="137"/>
      <c r="J224" s="131"/>
      <c r="K224" s="131"/>
      <c r="L224" s="229"/>
      <c r="M224" s="135"/>
    </row>
    <row r="225" spans="2:13" ht="15.75">
      <c r="B225" s="136"/>
      <c r="C225" s="137"/>
      <c r="D225" s="229"/>
      <c r="E225" s="131"/>
      <c r="F225" s="131"/>
      <c r="G225" s="135"/>
      <c r="H225" s="131"/>
      <c r="I225" s="137"/>
      <c r="J225" s="131"/>
      <c r="K225" s="131"/>
      <c r="L225" s="131"/>
      <c r="M225" s="135"/>
    </row>
    <row r="226" spans="2:13" ht="45">
      <c r="B226" s="136">
        <f>B217+1</f>
        <v>119</v>
      </c>
      <c r="C226" s="137"/>
      <c r="D226" s="131" t="s">
        <v>365</v>
      </c>
      <c r="E226" s="149" t="s">
        <v>137</v>
      </c>
      <c r="F226" s="149" t="s">
        <v>474</v>
      </c>
      <c r="G226" s="232" t="s">
        <v>496</v>
      </c>
      <c r="H226" s="197" t="s">
        <v>410</v>
      </c>
      <c r="I226" s="149"/>
      <c r="J226" s="135"/>
      <c r="K226" s="135"/>
      <c r="L226" s="135"/>
      <c r="M226" s="135"/>
    </row>
    <row r="227" spans="2:13">
      <c r="B227" s="136">
        <f t="shared" ref="B227:B233" si="8">+B226+1</f>
        <v>120</v>
      </c>
      <c r="C227" s="137"/>
      <c r="D227" s="177" t="s">
        <v>312</v>
      </c>
      <c r="E227" s="135"/>
      <c r="F227" s="135"/>
      <c r="G227" s="148"/>
      <c r="H227" s="148"/>
      <c r="I227" s="149"/>
      <c r="J227" s="150"/>
      <c r="K227" s="135"/>
      <c r="L227" s="148"/>
      <c r="M227" s="135"/>
    </row>
    <row r="228" spans="2:13">
      <c r="B228" s="136">
        <f t="shared" si="8"/>
        <v>121</v>
      </c>
      <c r="C228" s="137"/>
      <c r="D228" s="131" t="s">
        <v>419</v>
      </c>
      <c r="E228" s="135" t="s">
        <v>341</v>
      </c>
      <c r="F228" s="114">
        <v>0</v>
      </c>
      <c r="G228" s="114">
        <v>18320109.561513439</v>
      </c>
      <c r="H228" s="233">
        <f>+F228+G228</f>
        <v>18320109.561513439</v>
      </c>
      <c r="I228" s="137" t="s">
        <v>412</v>
      </c>
      <c r="J228" s="150">
        <f>L217</f>
        <v>1</v>
      </c>
      <c r="K228" s="234"/>
      <c r="L228" s="148">
        <f>(F228+G228)*J228</f>
        <v>18320109.561513439</v>
      </c>
      <c r="M228" s="135"/>
    </row>
    <row r="229" spans="2:13">
      <c r="B229" s="136">
        <f t="shared" si="8"/>
        <v>122</v>
      </c>
      <c r="C229" s="137"/>
      <c r="D229" s="131" t="s">
        <v>542</v>
      </c>
      <c r="E229" s="135" t="s">
        <v>254</v>
      </c>
      <c r="F229" s="114">
        <v>0</v>
      </c>
      <c r="G229" s="114">
        <v>0</v>
      </c>
      <c r="H229" s="148">
        <f>+F229+G229</f>
        <v>0</v>
      </c>
      <c r="I229" s="149" t="s">
        <v>418</v>
      </c>
      <c r="J229" s="150">
        <v>0</v>
      </c>
      <c r="K229" s="234"/>
      <c r="L229" s="148">
        <f>(F229+G229)*J229</f>
        <v>0</v>
      </c>
      <c r="M229" s="135"/>
    </row>
    <row r="230" spans="2:13">
      <c r="B230" s="136"/>
      <c r="C230" s="137"/>
      <c r="D230" s="131"/>
      <c r="E230" s="135"/>
      <c r="F230" s="114"/>
      <c r="G230" s="114"/>
      <c r="H230" s="233"/>
      <c r="I230" s="149"/>
      <c r="J230" s="150"/>
      <c r="K230" s="234"/>
      <c r="L230" s="148"/>
      <c r="M230" s="135"/>
    </row>
    <row r="231" spans="2:13">
      <c r="B231" s="136">
        <f>+B229+1</f>
        <v>123</v>
      </c>
      <c r="C231" s="137"/>
      <c r="D231" s="177" t="s">
        <v>312</v>
      </c>
      <c r="E231" s="135"/>
      <c r="F231" s="135"/>
      <c r="G231" s="148"/>
      <c r="H231" s="148"/>
      <c r="I231" s="149"/>
      <c r="J231" s="150"/>
      <c r="K231" s="135"/>
      <c r="L231" s="148"/>
      <c r="M231" s="135"/>
    </row>
    <row r="232" spans="2:13" ht="15.75" thickBot="1">
      <c r="B232" s="136">
        <f t="shared" si="8"/>
        <v>124</v>
      </c>
      <c r="C232" s="137"/>
      <c r="D232" s="131" t="s">
        <v>483</v>
      </c>
      <c r="E232" s="135" t="s">
        <v>206</v>
      </c>
      <c r="F232" s="1035">
        <v>0</v>
      </c>
      <c r="G232" s="1035">
        <v>0</v>
      </c>
      <c r="H232" s="183">
        <f>+F232+G232</f>
        <v>0</v>
      </c>
      <c r="I232" s="149" t="s">
        <v>418</v>
      </c>
      <c r="J232" s="150">
        <v>0</v>
      </c>
      <c r="K232" s="234"/>
      <c r="L232" s="183">
        <f>(F232+G232)*J232</f>
        <v>0</v>
      </c>
      <c r="M232" s="135"/>
    </row>
    <row r="233" spans="2:13" ht="15.75">
      <c r="B233" s="136">
        <f t="shared" si="8"/>
        <v>125</v>
      </c>
      <c r="C233" s="137"/>
      <c r="D233" s="131" t="s">
        <v>410</v>
      </c>
      <c r="E233" s="135" t="str">
        <f>"(sum lns "&amp;B228&amp;", "&amp;B229&amp;", &amp; "&amp;B232&amp;")"</f>
        <v>(sum lns 121, 122, &amp; 124)</v>
      </c>
      <c r="F233" s="148">
        <f>SUM(F227:F232)</f>
        <v>0</v>
      </c>
      <c r="G233" s="135">
        <f>SUM(G227:G232)</f>
        <v>18320109.561513439</v>
      </c>
      <c r="H233" s="135">
        <f>SUM(H227:H232)</f>
        <v>18320109.561513439</v>
      </c>
      <c r="I233" s="149"/>
      <c r="J233" s="135"/>
      <c r="K233" s="135"/>
      <c r="L233" s="148">
        <f>SUM(L227:L232)</f>
        <v>18320109.561513439</v>
      </c>
      <c r="M233" s="170"/>
    </row>
    <row r="234" spans="2:13">
      <c r="B234" s="136"/>
      <c r="C234" s="137"/>
      <c r="D234" s="131" t="s">
        <v>406</v>
      </c>
      <c r="E234" s="135" t="s">
        <v>406</v>
      </c>
      <c r="F234" s="135"/>
      <c r="H234" s="135"/>
      <c r="I234" s="197"/>
    </row>
    <row r="235" spans="2:13" ht="15.75">
      <c r="B235" s="136">
        <f>B233+1</f>
        <v>126</v>
      </c>
      <c r="C235" s="137"/>
      <c r="D235" s="131" t="s">
        <v>366</v>
      </c>
      <c r="E235" s="135"/>
      <c r="F235" s="135"/>
      <c r="G235" s="135"/>
      <c r="H235" s="135"/>
      <c r="I235" s="197"/>
      <c r="K235" s="235" t="s">
        <v>367</v>
      </c>
      <c r="L235" s="236">
        <f>L233/(F233+G233)</f>
        <v>1</v>
      </c>
    </row>
    <row r="236" spans="2:13" ht="15.75">
      <c r="B236" s="136"/>
      <c r="C236" s="137"/>
      <c r="D236" s="131"/>
      <c r="E236" s="135"/>
      <c r="F236" s="135"/>
      <c r="G236" s="135"/>
      <c r="H236" s="135"/>
      <c r="I236" s="197"/>
      <c r="K236" s="235"/>
      <c r="L236" s="236"/>
    </row>
    <row r="237" spans="2:13" ht="15.75">
      <c r="B237" s="136"/>
      <c r="C237" s="137"/>
      <c r="D237" s="237" t="s">
        <v>149</v>
      </c>
      <c r="E237" s="135"/>
      <c r="F237" s="135"/>
      <c r="G237" s="135"/>
      <c r="H237" s="135"/>
      <c r="I237" s="149"/>
      <c r="J237" s="135"/>
      <c r="K237" s="135"/>
      <c r="L237" s="135"/>
      <c r="M237" s="135"/>
    </row>
    <row r="238" spans="2:13" ht="15.75" thickBot="1">
      <c r="B238" s="136">
        <f>B235+1</f>
        <v>127</v>
      </c>
      <c r="C238" s="137"/>
      <c r="D238" s="131" t="s">
        <v>480</v>
      </c>
      <c r="E238" s="135"/>
      <c r="F238" s="135"/>
      <c r="G238" s="135"/>
      <c r="H238" s="135"/>
      <c r="I238" s="135"/>
      <c r="J238" s="135"/>
      <c r="K238" s="135"/>
      <c r="L238" s="238" t="s">
        <v>434</v>
      </c>
      <c r="M238" s="135"/>
    </row>
    <row r="239" spans="2:13" ht="15.75">
      <c r="B239" s="136">
        <f>B238+1</f>
        <v>128</v>
      </c>
      <c r="C239" s="137"/>
      <c r="D239" s="135" t="s">
        <v>500</v>
      </c>
      <c r="E239" s="126" t="str">
        <f>"(Worksheet M, ln."&amp;'WS M - Cost of Capital'!A55&amp;", col."&amp;'WS M - Cost of Capital'!E47&amp;")"</f>
        <v>(Worksheet M, ln.36, col.(d))</v>
      </c>
      <c r="F239" s="135"/>
      <c r="G239" s="135"/>
      <c r="H239" s="135"/>
      <c r="I239" s="135"/>
      <c r="J239" s="175" t="s">
        <v>406</v>
      </c>
      <c r="K239" s="135"/>
      <c r="L239" s="239">
        <f>'WS M - Cost of Capital'!E55</f>
        <v>126600397.05487375</v>
      </c>
      <c r="M239" s="135"/>
    </row>
    <row r="240" spans="2:13">
      <c r="B240" s="136">
        <f t="shared" ref="B240:B246" si="9">B239+1</f>
        <v>129</v>
      </c>
      <c r="C240" s="137"/>
      <c r="D240" s="135" t="s">
        <v>501</v>
      </c>
      <c r="E240" s="126" t="str">
        <f>"(Worksheet M, ln. "&amp;'WS M - Cost of Capital'!A75&amp;", col."&amp;'WS M - Cost of Capital'!E47&amp;")"</f>
        <v>(Worksheet M, ln. 45, col.(d))</v>
      </c>
      <c r="F240" s="135"/>
      <c r="G240" s="135"/>
      <c r="H240" s="135"/>
      <c r="I240" s="135"/>
      <c r="J240" s="135"/>
      <c r="K240" s="135"/>
      <c r="L240" s="148">
        <f>'WS M - Cost of Capital'!E75</f>
        <v>0</v>
      </c>
      <c r="M240" s="135"/>
    </row>
    <row r="241" spans="2:13">
      <c r="B241" s="136">
        <f t="shared" si="9"/>
        <v>130</v>
      </c>
      <c r="C241" s="137"/>
      <c r="D241" s="240" t="s">
        <v>27</v>
      </c>
      <c r="E241" s="135"/>
      <c r="F241" s="135"/>
      <c r="G241" s="135"/>
      <c r="H241" s="3"/>
      <c r="I241" s="135"/>
      <c r="J241" s="135"/>
      <c r="K241" s="135"/>
      <c r="L241" s="148"/>
      <c r="M241" s="135"/>
    </row>
    <row r="242" spans="2:13">
      <c r="B242" s="136">
        <f t="shared" si="9"/>
        <v>131</v>
      </c>
      <c r="C242" s="137"/>
      <c r="D242" s="135" t="s">
        <v>28</v>
      </c>
      <c r="E242" s="126" t="str">
        <f>"(Worksheet M, ln. "&amp;'WS M - Cost of Capital'!A23&amp;", col."&amp;'WS M - Cost of Capital'!C8&amp;")"</f>
        <v>(Worksheet M, ln. 14, col.(b))</v>
      </c>
      <c r="F242" s="135"/>
      <c r="G242" s="131"/>
      <c r="H242" s="3"/>
      <c r="I242" s="135"/>
      <c r="J242" s="135"/>
      <c r="K242" s="135"/>
      <c r="L242" s="148">
        <f>'WS M - Cost of Capital'!C23</f>
        <v>3459954423.7913632</v>
      </c>
      <c r="M242" s="135"/>
    </row>
    <row r="243" spans="2:13">
      <c r="B243" s="136">
        <f t="shared" si="9"/>
        <v>132</v>
      </c>
      <c r="C243" s="137"/>
      <c r="D243" s="135" t="s">
        <v>163</v>
      </c>
      <c r="E243" s="126" t="str">
        <f>"(Worksheet M, ln. "&amp;'WS M - Cost of Capital'!A23&amp;", col."&amp;'WS M - Cost of Capital'!D8&amp;")"</f>
        <v>(Worksheet M, ln. 14, col.(c))</v>
      </c>
      <c r="F243" s="135"/>
      <c r="G243" s="135"/>
      <c r="H243" s="3"/>
      <c r="I243" s="135"/>
      <c r="J243" s="135"/>
      <c r="K243" s="135"/>
      <c r="L243" s="148">
        <f>'WS M - Cost of Capital'!D23</f>
        <v>0</v>
      </c>
      <c r="M243" s="135"/>
    </row>
    <row r="244" spans="2:13">
      <c r="B244" s="136">
        <f t="shared" si="9"/>
        <v>133</v>
      </c>
      <c r="C244" s="137"/>
      <c r="D244" s="135" t="s">
        <v>156</v>
      </c>
      <c r="E244" s="126" t="str">
        <f>"(Worksheet M, ln. "&amp;'WS M - Cost of Capital'!A23&amp;", col."&amp;'WS M - Cost of Capital'!E8&amp;")"</f>
        <v>(Worksheet M, ln. 14, col.(d))</v>
      </c>
      <c r="F244" s="135"/>
      <c r="G244" s="135"/>
      <c r="H244" s="3"/>
      <c r="I244" s="135"/>
      <c r="J244" s="135"/>
      <c r="K244" s="135"/>
      <c r="L244" s="148">
        <f>'WS M - Cost of Capital'!E23</f>
        <v>0</v>
      </c>
      <c r="M244" s="135"/>
    </row>
    <row r="245" spans="2:13">
      <c r="B245" s="136">
        <f t="shared" si="9"/>
        <v>134</v>
      </c>
      <c r="C245" s="137"/>
      <c r="D245" s="135" t="s">
        <v>162</v>
      </c>
      <c r="E245" s="126" t="str">
        <f>"(Worksheet M, ln. "&amp;'WS M - Cost of Capital'!A23&amp;", col."&amp;'WS M - Cost of Capital'!F8&amp;")"</f>
        <v>(Worksheet M, ln. 14, col.(e))</v>
      </c>
      <c r="F245" s="135"/>
      <c r="G245" s="135"/>
      <c r="H245" s="3"/>
      <c r="I245" s="135"/>
      <c r="J245" s="135"/>
      <c r="K245" s="135"/>
      <c r="L245" s="902">
        <f>'WS M - Cost of Capital'!F23</f>
        <v>0</v>
      </c>
      <c r="M245" s="135"/>
    </row>
    <row r="246" spans="2:13">
      <c r="B246" s="136">
        <f t="shared" si="9"/>
        <v>135</v>
      </c>
      <c r="C246" s="137"/>
      <c r="D246" s="126" t="s">
        <v>29</v>
      </c>
      <c r="E246" s="241" t="str">
        <f>"(ln "&amp;B242&amp;" - ln "&amp;B243&amp;" - ln "&amp;B244&amp;" - ln "&amp;B245&amp;")"</f>
        <v>(ln 131 - ln 132 - ln 133 - ln 134)</v>
      </c>
      <c r="F246" s="144"/>
      <c r="H246" s="131"/>
      <c r="I246" s="131"/>
      <c r="J246" s="131"/>
      <c r="K246" s="131"/>
      <c r="L246" s="148">
        <f>L242-L243-L244-L245</f>
        <v>3459954423.7913632</v>
      </c>
      <c r="M246" s="135"/>
    </row>
    <row r="247" spans="2:13" ht="15.75">
      <c r="B247" s="136"/>
      <c r="C247" s="137"/>
      <c r="D247" s="131"/>
      <c r="E247" s="135"/>
      <c r="F247" s="135"/>
      <c r="G247" s="1122" t="s">
        <v>264</v>
      </c>
      <c r="H247" s="1122"/>
      <c r="I247" s="135"/>
      <c r="J247" s="197" t="s">
        <v>435</v>
      </c>
      <c r="K247" s="135"/>
      <c r="L247" s="135"/>
      <c r="M247" s="135"/>
    </row>
    <row r="248" spans="2:13" ht="15.75" thickBot="1">
      <c r="B248" s="136"/>
      <c r="C248" s="137"/>
      <c r="D248" s="131"/>
      <c r="F248" s="135"/>
      <c r="G248" s="143" t="s">
        <v>434</v>
      </c>
      <c r="H248" s="143" t="s">
        <v>436</v>
      </c>
      <c r="I248" s="238" t="s">
        <v>836</v>
      </c>
      <c r="J248" s="242" t="s">
        <v>544</v>
      </c>
      <c r="K248" s="135"/>
      <c r="L248" s="143" t="s">
        <v>437</v>
      </c>
      <c r="M248" s="135"/>
    </row>
    <row r="249" spans="2:13" ht="15.75">
      <c r="B249" s="136">
        <f>B246+1</f>
        <v>136</v>
      </c>
      <c r="C249" s="137"/>
      <c r="D249" s="131" t="str">
        <f>"  Long Term Debt  (Note S) Worksheet M, ln "&amp;'WS M - Cost of Capital'!A42&amp;", col. (g), ln "&amp;'WS M - Cost of Capital'!A57&amp;", col. "&amp;'WS M - Cost of Capital'!E47&amp;")"</f>
        <v xml:space="preserve">  Long Term Debt  (Note S) Worksheet M, ln 28, col. (g), ln 37, col. (d))</v>
      </c>
      <c r="F249" s="175" t="s">
        <v>406</v>
      </c>
      <c r="G249" s="148">
        <f>'WS M - Cost of Capital'!H42</f>
        <v>2829157584.6926966</v>
      </c>
      <c r="H249" s="157">
        <f>IF($G$252=0,0,G249/$G$252)</f>
        <v>0.44985008708322277</v>
      </c>
      <c r="I249" s="979">
        <f>IF(H251&gt;E254,1-I251,H249)</f>
        <v>0.44999999999999996</v>
      </c>
      <c r="J249" s="157">
        <f>IF(G249=0,0,L239/G249)</f>
        <v>4.4748443048860817E-2</v>
      </c>
      <c r="L249" s="243">
        <f>H249*J249</f>
        <v>2.0130091002368674E-2</v>
      </c>
      <c r="M249" s="135"/>
    </row>
    <row r="250" spans="2:13">
      <c r="B250" s="136">
        <f>B249+1</f>
        <v>137</v>
      </c>
      <c r="C250" s="137"/>
      <c r="D250" s="131" t="str">
        <f>"  Preferred Stock (ln "&amp;B243&amp;")"</f>
        <v xml:space="preserve">  Preferred Stock (ln 132)</v>
      </c>
      <c r="G250" s="148">
        <f>L243</f>
        <v>0</v>
      </c>
      <c r="H250" s="157">
        <f>IF($G$252=0,0,G250/$G$252)</f>
        <v>0</v>
      </c>
      <c r="I250" s="979">
        <f>H250</f>
        <v>0</v>
      </c>
      <c r="J250" s="157">
        <f>IF(G250=0,0,L240/G250)</f>
        <v>0</v>
      </c>
      <c r="L250" s="244">
        <f>H250*J250</f>
        <v>0</v>
      </c>
      <c r="M250" s="135"/>
    </row>
    <row r="251" spans="2:13" ht="15.75" thickBot="1">
      <c r="B251" s="136">
        <f>B250+1</f>
        <v>138</v>
      </c>
      <c r="C251" s="137"/>
      <c r="D251" s="131" t="str">
        <f>"  Common Stock (ln "&amp;B246&amp;")"</f>
        <v xml:space="preserve">  Common Stock (ln 135)</v>
      </c>
      <c r="G251" s="183">
        <f>L246</f>
        <v>3459954423.7913632</v>
      </c>
      <c r="H251" s="245">
        <f>IF($G$252=0,0,G251/$G$252)</f>
        <v>0.55014991291677717</v>
      </c>
      <c r="I251" s="979">
        <f>IF(H251&gt;E254,E254,H251)</f>
        <v>0.55000000000000004</v>
      </c>
      <c r="J251" s="295">
        <v>9.8500000000000004E-2</v>
      </c>
      <c r="L251" s="246">
        <f>H251*J251</f>
        <v>5.4189766422302554E-2</v>
      </c>
      <c r="M251" s="135"/>
    </row>
    <row r="252" spans="2:13" ht="15.75">
      <c r="B252" s="136">
        <f>B251+1</f>
        <v>139</v>
      </c>
      <c r="C252" s="137"/>
      <c r="D252" s="131" t="str">
        <f>" Total (Sum lns "&amp;B249&amp;" to "&amp;B251&amp;")"</f>
        <v xml:space="preserve"> Total (Sum lns 136 to 138)</v>
      </c>
      <c r="G252" s="148">
        <f>SUM(G249:G251)</f>
        <v>6289112008.4840603</v>
      </c>
      <c r="H252" s="158">
        <f>SUM(H249:H251)</f>
        <v>1</v>
      </c>
      <c r="I252" s="135"/>
      <c r="J252" s="247"/>
      <c r="K252" s="189" t="s">
        <v>354</v>
      </c>
      <c r="L252" s="248">
        <f>SUM(L249:L251)</f>
        <v>7.4319857424671232E-2</v>
      </c>
      <c r="M252" s="135"/>
    </row>
    <row r="253" spans="2:13" ht="15.75">
      <c r="B253" s="136"/>
      <c r="C253" s="137"/>
      <c r="D253" s="131"/>
      <c r="G253" s="148"/>
      <c r="H253" s="158"/>
      <c r="I253" s="135"/>
      <c r="J253" s="247"/>
      <c r="K253" s="189"/>
      <c r="L253" s="248"/>
      <c r="M253" s="135"/>
    </row>
    <row r="254" spans="2:13">
      <c r="B254" s="136">
        <v>140</v>
      </c>
      <c r="C254" s="137"/>
      <c r="D254" s="131" t="s">
        <v>833</v>
      </c>
      <c r="E254" s="979">
        <v>0.55000000000000004</v>
      </c>
      <c r="F254" s="135"/>
      <c r="G254" s="135"/>
      <c r="H254" s="135"/>
      <c r="I254" s="149"/>
      <c r="J254" s="135"/>
      <c r="K254" s="135"/>
      <c r="L254" s="135"/>
      <c r="M254" s="135"/>
    </row>
    <row r="255" spans="2:13" ht="15.75" hidden="1">
      <c r="B255" s="249"/>
      <c r="C255" s="250"/>
      <c r="D255" s="251" t="s">
        <v>215</v>
      </c>
      <c r="E255" s="252"/>
      <c r="F255" s="253"/>
      <c r="G255" s="254"/>
      <c r="H255" s="253"/>
      <c r="I255" s="253"/>
      <c r="J255" s="253"/>
      <c r="K255" s="255"/>
      <c r="L255" s="256"/>
      <c r="M255" s="135"/>
    </row>
    <row r="256" spans="2:13" ht="15.75" hidden="1" thickBot="1">
      <c r="B256" s="249">
        <f>B252+1</f>
        <v>140</v>
      </c>
      <c r="C256" s="250"/>
      <c r="D256" s="257" t="s">
        <v>480</v>
      </c>
      <c r="E256" s="253"/>
      <c r="F256" s="253"/>
      <c r="G256" s="253"/>
      <c r="H256" s="253"/>
      <c r="I256" s="253"/>
      <c r="J256" s="253"/>
      <c r="K256" s="253"/>
      <c r="L256" s="258" t="s">
        <v>434</v>
      </c>
      <c r="M256" s="135"/>
    </row>
    <row r="257" spans="2:21" hidden="1">
      <c r="B257" s="249">
        <f t="shared" ref="B257:B264" si="10">+B256+1</f>
        <v>141</v>
      </c>
      <c r="C257" s="250"/>
      <c r="D257" s="253" t="s">
        <v>500</v>
      </c>
      <c r="E257" s="254" t="str">
        <f>"(Worksheet Q, ln. "&amp;'WS Q Cap Structure'!A199&amp;")"</f>
        <v>(Worksheet Q, ln. 132)</v>
      </c>
      <c r="F257" s="253"/>
      <c r="G257" s="253"/>
      <c r="H257" s="253"/>
      <c r="I257" s="253"/>
      <c r="J257" s="253"/>
      <c r="K257" s="253"/>
      <c r="L257" s="259">
        <f>'WS Q Cap Structure'!J199</f>
        <v>0</v>
      </c>
      <c r="M257" s="135"/>
    </row>
    <row r="258" spans="2:21" hidden="1">
      <c r="B258" s="249">
        <f t="shared" si="10"/>
        <v>142</v>
      </c>
      <c r="C258" s="250"/>
      <c r="D258" s="253" t="s">
        <v>501</v>
      </c>
      <c r="E258" s="254" t="str">
        <f>"(Worksheet Q, ln. "&amp;'WS Q Cap Structure'!A203&amp;")"</f>
        <v>(Worksheet Q, ln. 134)</v>
      </c>
      <c r="F258" s="253"/>
      <c r="G258" s="253"/>
      <c r="H258" s="253"/>
      <c r="I258" s="253"/>
      <c r="J258" s="253"/>
      <c r="K258" s="253"/>
      <c r="L258" s="259">
        <f>'WS Q Cap Structure'!J203</f>
        <v>0</v>
      </c>
      <c r="M258" s="135"/>
    </row>
    <row r="259" spans="2:21" hidden="1">
      <c r="B259" s="249">
        <f t="shared" si="10"/>
        <v>143</v>
      </c>
      <c r="C259" s="250"/>
      <c r="D259" s="260" t="s">
        <v>27</v>
      </c>
      <c r="E259" s="253"/>
      <c r="F259" s="253"/>
      <c r="G259" s="253"/>
      <c r="H259" s="261"/>
      <c r="I259" s="253"/>
      <c r="J259" s="253"/>
      <c r="K259" s="253"/>
      <c r="L259" s="259"/>
      <c r="M259" s="135"/>
    </row>
    <row r="260" spans="2:21" hidden="1">
      <c r="B260" s="249">
        <f t="shared" si="10"/>
        <v>144</v>
      </c>
      <c r="C260" s="250"/>
      <c r="D260" s="253" t="s">
        <v>28</v>
      </c>
      <c r="E260" s="254" t="str">
        <f>"(Worksheet Q, ln. "&amp;'WS Q Cap Structure'!A206&amp;")"</f>
        <v>(Worksheet Q, ln. 135)</v>
      </c>
      <c r="F260" s="253"/>
      <c r="G260" s="257"/>
      <c r="H260" s="262"/>
      <c r="I260" s="253"/>
      <c r="J260" s="253"/>
      <c r="K260" s="253"/>
      <c r="L260" s="263" t="e">
        <f>'WS Q Cap Structure'!J206</f>
        <v>#DIV/0!</v>
      </c>
      <c r="M260" s="135"/>
    </row>
    <row r="261" spans="2:21" hidden="1">
      <c r="B261" s="249">
        <f t="shared" si="10"/>
        <v>145</v>
      </c>
      <c r="C261" s="250"/>
      <c r="D261" s="253" t="s">
        <v>163</v>
      </c>
      <c r="E261" s="254" t="str">
        <f>"(Worksheet Q, ln. "&amp;'WS Q Cap Structure'!A207&amp;")"</f>
        <v>(Worksheet Q, ln. 136)</v>
      </c>
      <c r="F261" s="253"/>
      <c r="G261" s="253"/>
      <c r="H261" s="262"/>
      <c r="I261" s="253"/>
      <c r="J261" s="253"/>
      <c r="K261" s="253"/>
      <c r="L261" s="263">
        <f>'WS Q Cap Structure'!J207</f>
        <v>0</v>
      </c>
      <c r="M261" s="135"/>
    </row>
    <row r="262" spans="2:21" hidden="1">
      <c r="B262" s="249">
        <f>+B261+1</f>
        <v>146</v>
      </c>
      <c r="C262" s="250"/>
      <c r="D262" s="253" t="s">
        <v>156</v>
      </c>
      <c r="E262" s="254" t="str">
        <f>"(Worksheet Q, ln. "&amp;'WS Q Cap Structure'!A208&amp;")"</f>
        <v>(Worksheet Q, ln. 137)</v>
      </c>
      <c r="F262" s="253"/>
      <c r="G262" s="253"/>
      <c r="H262" s="262"/>
      <c r="I262" s="253"/>
      <c r="J262" s="253"/>
      <c r="K262" s="253"/>
      <c r="L262" s="263" t="e">
        <f>'WS Q Cap Structure'!J208</f>
        <v>#DIV/0!</v>
      </c>
      <c r="M262" s="135"/>
    </row>
    <row r="263" spans="2:21" ht="15.75" hidden="1" thickBot="1">
      <c r="B263" s="249">
        <f t="shared" si="10"/>
        <v>147</v>
      </c>
      <c r="C263" s="250"/>
      <c r="D263" s="253" t="s">
        <v>162</v>
      </c>
      <c r="E263" s="254" t="str">
        <f>"(Worksheet Q, ln. "&amp;'WS Q Cap Structure'!A209&amp;")"</f>
        <v>(Worksheet Q, ln. 138)</v>
      </c>
      <c r="F263" s="253"/>
      <c r="G263" s="253"/>
      <c r="H263" s="262"/>
      <c r="I263" s="253"/>
      <c r="J263" s="264"/>
      <c r="K263" s="253"/>
      <c r="L263" s="265" t="e">
        <f>'WS Q Cap Structure'!J209</f>
        <v>#DIV/0!</v>
      </c>
      <c r="M263" s="135"/>
    </row>
    <row r="264" spans="2:21" hidden="1">
      <c r="B264" s="249">
        <f t="shared" si="10"/>
        <v>148</v>
      </c>
      <c r="C264" s="250"/>
      <c r="D264" s="254" t="s">
        <v>29</v>
      </c>
      <c r="E264" s="253" t="str">
        <f>"(ln "&amp;B260&amp;" - ln "&amp;B261&amp;" - ln "&amp;B262&amp;" - ln "&amp;B263&amp;")"</f>
        <v>(ln 144 - ln 145 - ln 146 - ln 147)</v>
      </c>
      <c r="F264" s="252"/>
      <c r="G264" s="254"/>
      <c r="H264" s="257"/>
      <c r="I264" s="257"/>
      <c r="J264" s="257"/>
      <c r="K264" s="257"/>
      <c r="L264" s="259" t="e">
        <f>+L260-L261-L262-L263</f>
        <v>#DIV/0!</v>
      </c>
      <c r="M264" s="135"/>
    </row>
    <row r="265" spans="2:21" ht="15.75" hidden="1">
      <c r="B265" s="249"/>
      <c r="C265" s="250"/>
      <c r="D265" s="257"/>
      <c r="E265" s="253"/>
      <c r="F265" s="253"/>
      <c r="G265" s="1121"/>
      <c r="H265" s="1121"/>
      <c r="I265" s="266"/>
      <c r="J265" s="254"/>
      <c r="K265" s="253"/>
      <c r="L265" s="253"/>
      <c r="M265" s="135"/>
    </row>
    <row r="266" spans="2:21" ht="15.75" hidden="1" thickBot="1">
      <c r="B266" s="249">
        <f>+B264+1</f>
        <v>149</v>
      </c>
      <c r="C266" s="250"/>
      <c r="D266" s="257"/>
      <c r="E266" s="254"/>
      <c r="F266" s="254"/>
      <c r="G266" s="267" t="s">
        <v>436</v>
      </c>
      <c r="H266" s="267" t="s">
        <v>434</v>
      </c>
      <c r="I266" s="266"/>
      <c r="J266" s="268" t="s">
        <v>435</v>
      </c>
      <c r="K266" s="253"/>
      <c r="L266" s="267" t="s">
        <v>437</v>
      </c>
      <c r="M266" s="135"/>
      <c r="N266" s="131"/>
      <c r="O266" s="131"/>
      <c r="P266" s="131"/>
      <c r="Q266" s="131"/>
      <c r="R266" s="131"/>
      <c r="S266" s="131"/>
      <c r="T266" s="131"/>
      <c r="U266" s="131"/>
    </row>
    <row r="267" spans="2:21" hidden="1">
      <c r="B267" s="249">
        <f>+B266+1</f>
        <v>150</v>
      </c>
      <c r="C267" s="250"/>
      <c r="D267" s="257" t="str">
        <f>"  Long Term Debt   (Worksheet Q, ln "&amp;'WS Q Cap Structure'!A213&amp;")"</f>
        <v xml:space="preserve">  Long Term Debt   (Worksheet Q, ln 140)</v>
      </c>
      <c r="E267" s="254"/>
      <c r="F267" s="254"/>
      <c r="G267" s="269" t="e">
        <f>'WS Q Cap Structure'!J218</f>
        <v>#DIV/0!</v>
      </c>
      <c r="H267" s="259" t="e">
        <f>$H$270*G267</f>
        <v>#DIV/0!</v>
      </c>
      <c r="I267" s="270"/>
      <c r="J267" s="264" t="e">
        <f>+L257/H267</f>
        <v>#DIV/0!</v>
      </c>
      <c r="K267" s="254"/>
      <c r="L267" s="271" t="e">
        <f>+G267*J267</f>
        <v>#DIV/0!</v>
      </c>
      <c r="M267" s="272"/>
      <c r="N267" s="131"/>
      <c r="O267" s="131"/>
      <c r="P267" s="131"/>
      <c r="Q267" s="131"/>
      <c r="R267" s="131"/>
      <c r="S267" s="131"/>
      <c r="T267" s="131"/>
      <c r="U267" s="131"/>
    </row>
    <row r="268" spans="2:21" hidden="1">
      <c r="B268" s="249">
        <f>+B267+1</f>
        <v>151</v>
      </c>
      <c r="C268" s="250"/>
      <c r="D268" s="257" t="str">
        <f>"  Preferred Stock (Worksheet Q, ln "&amp;'WS Q Cap Structure'!A214&amp;")"</f>
        <v xml:space="preserve">  Preferred Stock (Worksheet Q, ln 141)</v>
      </c>
      <c r="E268" s="254"/>
      <c r="F268" s="254"/>
      <c r="G268" s="269" t="e">
        <f>'WS Q Cap Structure'!J219</f>
        <v>#DIV/0!</v>
      </c>
      <c r="H268" s="259" t="e">
        <f>$H$270*G268</f>
        <v>#DIV/0!</v>
      </c>
      <c r="I268" s="270"/>
      <c r="J268" s="264">
        <f>IF(L258=0,0,+L258/H268)</f>
        <v>0</v>
      </c>
      <c r="K268" s="254"/>
      <c r="L268" s="273" t="e">
        <f>+G268*J268</f>
        <v>#DIV/0!</v>
      </c>
      <c r="M268" s="135"/>
    </row>
    <row r="269" spans="2:21" ht="15.75" hidden="1" thickBot="1">
      <c r="B269" s="249">
        <f>+B268+1</f>
        <v>152</v>
      </c>
      <c r="C269" s="250"/>
      <c r="D269" s="257" t="str">
        <f>"  Common Stock (Worksheet Q, ln "&amp;'WS Q Cap Structure'!A215&amp;")"</f>
        <v xml:space="preserve">  Common Stock (Worksheet Q, ln 142)</v>
      </c>
      <c r="E269" s="254"/>
      <c r="F269" s="254"/>
      <c r="G269" s="269" t="e">
        <f>'WS Q Cap Structure'!J220</f>
        <v>#DIV/0!</v>
      </c>
      <c r="H269" s="274" t="e">
        <f>$H$270*G269</f>
        <v>#DIV/0!</v>
      </c>
      <c r="I269" s="270"/>
      <c r="J269" s="123">
        <v>0.1149</v>
      </c>
      <c r="K269" s="254"/>
      <c r="L269" s="275" t="e">
        <f>+G269*J269</f>
        <v>#DIV/0!</v>
      </c>
      <c r="M269" s="135"/>
    </row>
    <row r="270" spans="2:21" ht="15.75" hidden="1">
      <c r="B270" s="249">
        <f>+B269+1</f>
        <v>153</v>
      </c>
      <c r="C270" s="250"/>
      <c r="D270" s="257" t="str">
        <f>" Total (Worksheet Q, ln "&amp;'WS Q Cap Structure'!A216&amp;")"</f>
        <v xml:space="preserve"> Total (Worksheet Q, ln 143)</v>
      </c>
      <c r="E270" s="254"/>
      <c r="F270" s="254"/>
      <c r="G270" s="254"/>
      <c r="H270" s="259" t="e">
        <f>'WS Q Cap Structure'!J216</f>
        <v>#DIV/0!</v>
      </c>
      <c r="I270" s="266"/>
      <c r="J270" s="276"/>
      <c r="K270" s="277" t="s">
        <v>354</v>
      </c>
      <c r="L270" s="278" t="e">
        <f>SUM(L267:L269)</f>
        <v>#DIV/0!</v>
      </c>
      <c r="M270" s="279"/>
    </row>
    <row r="271" spans="2:21">
      <c r="B271" s="136"/>
      <c r="C271" s="41"/>
      <c r="D271" s="3"/>
      <c r="E271" s="41"/>
      <c r="F271"/>
      <c r="G271"/>
      <c r="H271"/>
      <c r="I271"/>
      <c r="J271" s="132"/>
      <c r="K271" s="132"/>
      <c r="L271" s="132"/>
      <c r="M271" s="132"/>
      <c r="N271" s="131"/>
      <c r="O271" s="131"/>
      <c r="P271" s="131"/>
      <c r="Q271" s="131"/>
      <c r="R271" s="131"/>
      <c r="S271" s="131"/>
      <c r="T271" s="131"/>
      <c r="U271" s="131"/>
    </row>
    <row r="272" spans="2:21">
      <c r="B272" s="136"/>
      <c r="C272" s="41"/>
      <c r="D272" s="41"/>
      <c r="E272"/>
      <c r="F272"/>
      <c r="G272"/>
      <c r="H272"/>
      <c r="I272"/>
      <c r="J272" s="135"/>
      <c r="K272" s="131"/>
      <c r="L272" s="135"/>
      <c r="M272" s="131"/>
      <c r="N272" s="131"/>
      <c r="O272" s="131"/>
      <c r="P272" s="131"/>
      <c r="Q272" s="131"/>
      <c r="R272" s="131"/>
      <c r="S272" s="131"/>
      <c r="T272" s="131"/>
      <c r="U272" s="131"/>
    </row>
    <row r="273" spans="2:21" ht="15.75">
      <c r="B273" s="195"/>
      <c r="C273" s="137"/>
      <c r="D273" s="127"/>
      <c r="E273" s="127"/>
      <c r="F273" s="197" t="str">
        <f>F202</f>
        <v>AEPTCo subsidiaries in PJM</v>
      </c>
      <c r="G273" s="128"/>
      <c r="H273" s="135"/>
      <c r="I273" s="135"/>
      <c r="J273" s="135"/>
      <c r="K273" s="131"/>
      <c r="L273" s="135"/>
      <c r="M273" s="166"/>
      <c r="N273" s="131"/>
      <c r="O273" s="131"/>
      <c r="P273" s="131"/>
      <c r="Q273" s="131"/>
      <c r="R273" s="131"/>
      <c r="S273" s="131"/>
      <c r="T273" s="131"/>
      <c r="U273" s="131"/>
    </row>
    <row r="274" spans="2:21">
      <c r="B274" s="195"/>
      <c r="C274" s="137"/>
      <c r="E274" s="137"/>
      <c r="F274" s="197" t="str">
        <f>F203</f>
        <v>Transmission Cost of Service Formula Rate</v>
      </c>
      <c r="G274" s="135"/>
      <c r="H274" s="135"/>
      <c r="I274" s="135"/>
      <c r="J274" s="135"/>
      <c r="K274" s="131"/>
      <c r="L274" s="145"/>
      <c r="M274" s="166"/>
      <c r="N274" s="131"/>
      <c r="O274" s="131"/>
      <c r="P274" s="131"/>
      <c r="Q274" s="131"/>
      <c r="R274" s="131"/>
      <c r="S274" s="131"/>
      <c r="T274" s="131"/>
      <c r="U274" s="131"/>
    </row>
    <row r="275" spans="2:21" ht="15.75">
      <c r="B275" s="195"/>
      <c r="C275" s="137"/>
      <c r="E275" s="198"/>
      <c r="F275" s="197" t="str">
        <f>F204</f>
        <v>Utilizing  Actual/Projected FERC Form 1 Data</v>
      </c>
      <c r="G275" s="135"/>
      <c r="H275" s="135"/>
      <c r="I275" s="135"/>
      <c r="J275" s="135"/>
      <c r="K275" s="131"/>
      <c r="L275" s="145"/>
      <c r="M275" s="166"/>
      <c r="N275" s="131"/>
      <c r="O275" s="131"/>
      <c r="P275" s="131"/>
      <c r="Q275" s="131"/>
      <c r="R275" s="131"/>
      <c r="S275" s="131"/>
      <c r="T275" s="131"/>
      <c r="U275" s="131"/>
    </row>
    <row r="276" spans="2:21" ht="15.75">
      <c r="B276" s="136"/>
      <c r="C276" s="137"/>
      <c r="E276" s="198"/>
      <c r="F276" s="197"/>
      <c r="G276" s="135"/>
      <c r="H276" s="135"/>
      <c r="I276" s="135"/>
      <c r="J276" s="135"/>
      <c r="K276" s="131"/>
      <c r="L276" s="145"/>
      <c r="N276" s="131"/>
      <c r="O276" s="131"/>
      <c r="P276" s="131"/>
      <c r="Q276" s="131"/>
      <c r="R276" s="131"/>
      <c r="S276" s="131"/>
      <c r="T276" s="131"/>
      <c r="U276" s="131"/>
    </row>
    <row r="277" spans="2:21" ht="15.75">
      <c r="B277" s="136"/>
      <c r="C277" s="137"/>
      <c r="E277" s="198"/>
      <c r="F277" s="197" t="str">
        <f>F206</f>
        <v>AEP Ohio Transmission Company</v>
      </c>
      <c r="G277" s="135"/>
      <c r="H277" s="135"/>
      <c r="I277" s="135"/>
      <c r="J277" s="135"/>
      <c r="K277" s="131"/>
      <c r="L277" s="145"/>
      <c r="N277" s="131"/>
      <c r="O277" s="131"/>
      <c r="P277" s="131"/>
      <c r="Q277" s="131"/>
      <c r="R277" s="131"/>
      <c r="S277" s="131"/>
      <c r="T277" s="131"/>
      <c r="U277" s="131"/>
    </row>
    <row r="278" spans="2:21" ht="15.75">
      <c r="B278" s="136"/>
      <c r="C278" s="137"/>
      <c r="E278" s="198"/>
      <c r="F278" s="197"/>
      <c r="G278" s="135"/>
      <c r="H278" s="135"/>
      <c r="I278" s="135"/>
      <c r="J278" s="135"/>
      <c r="K278" s="131"/>
      <c r="L278" s="145"/>
      <c r="N278" s="131"/>
      <c r="O278" s="131"/>
      <c r="P278" s="131"/>
      <c r="Q278" s="131"/>
      <c r="R278" s="131"/>
      <c r="S278" s="131"/>
      <c r="T278" s="131"/>
      <c r="U278" s="131"/>
    </row>
    <row r="279" spans="2:21" ht="15.75">
      <c r="B279" s="174" t="s">
        <v>466</v>
      </c>
      <c r="C279" s="137"/>
      <c r="D279" s="131"/>
      <c r="E279" s="131"/>
      <c r="F279" s="174" t="s">
        <v>465</v>
      </c>
      <c r="G279" s="135"/>
      <c r="H279" s="135"/>
      <c r="I279" s="135"/>
      <c r="J279" s="135" t="s">
        <v>617</v>
      </c>
      <c r="K279" s="131"/>
      <c r="L279" s="135"/>
      <c r="N279" s="131"/>
      <c r="O279" s="131"/>
      <c r="P279" s="131"/>
      <c r="Q279" s="131"/>
      <c r="R279" s="131"/>
      <c r="S279" s="131"/>
      <c r="T279" s="131"/>
      <c r="U279" s="131"/>
    </row>
    <row r="280" spans="2:21">
      <c r="C280" s="137"/>
      <c r="L280" s="145"/>
      <c r="N280" s="131"/>
      <c r="O280" s="131"/>
      <c r="P280" s="131"/>
      <c r="Q280" s="131"/>
      <c r="R280" s="131"/>
      <c r="S280" s="131"/>
      <c r="T280" s="131"/>
      <c r="U280" s="131"/>
    </row>
    <row r="281" spans="2:21">
      <c r="B281" s="136"/>
      <c r="C281" s="137"/>
      <c r="D281" s="131" t="s">
        <v>324</v>
      </c>
      <c r="E281" s="137"/>
      <c r="F281" s="137"/>
      <c r="G281" s="135"/>
      <c r="H281" s="135"/>
      <c r="I281" s="135"/>
      <c r="J281" s="135"/>
      <c r="K281" s="131"/>
      <c r="L281" s="135"/>
      <c r="M281" s="131"/>
      <c r="N281" s="131"/>
      <c r="O281" s="131"/>
      <c r="P281" s="131"/>
      <c r="Q281" s="131"/>
      <c r="R281" s="131"/>
      <c r="S281" s="131"/>
      <c r="T281" s="131"/>
      <c r="U281" s="131"/>
    </row>
    <row r="282" spans="2:21">
      <c r="B282" s="126"/>
      <c r="D282" s="131"/>
      <c r="E282" s="131"/>
      <c r="F282" s="131"/>
      <c r="G282" s="135"/>
      <c r="H282" s="135"/>
      <c r="I282" s="135"/>
      <c r="J282" s="135"/>
      <c r="K282" s="131"/>
      <c r="L282" s="135"/>
      <c r="M282" s="131"/>
      <c r="N282" s="131"/>
      <c r="O282" s="131"/>
      <c r="P282" s="131"/>
      <c r="Q282" s="131"/>
      <c r="R282" s="131"/>
      <c r="S282" s="131"/>
      <c r="T282" s="131"/>
      <c r="U282" s="131"/>
    </row>
    <row r="283" spans="2:21">
      <c r="B283" s="126"/>
      <c r="D283" s="131"/>
      <c r="E283" s="131"/>
      <c r="F283" s="131"/>
      <c r="G283" s="135"/>
      <c r="H283" s="135"/>
      <c r="I283" s="135"/>
      <c r="J283" s="135"/>
      <c r="K283" s="131"/>
      <c r="L283" s="135"/>
      <c r="M283" s="131"/>
      <c r="N283" s="131"/>
      <c r="O283" s="131"/>
      <c r="P283" s="131"/>
      <c r="Q283" s="131"/>
      <c r="R283" s="131"/>
      <c r="S283" s="131"/>
      <c r="T283" s="131"/>
      <c r="U283" s="131"/>
    </row>
    <row r="284" spans="2:21">
      <c r="B284" s="280" t="s">
        <v>438</v>
      </c>
      <c r="C284" s="137"/>
      <c r="D284" s="131" t="s">
        <v>266</v>
      </c>
      <c r="E284" s="131"/>
      <c r="F284" s="131"/>
      <c r="G284" s="135"/>
      <c r="H284" s="135"/>
      <c r="I284" s="135"/>
      <c r="J284" s="135"/>
      <c r="K284" s="131"/>
      <c r="L284" s="135"/>
      <c r="M284" s="131"/>
      <c r="N284" s="131"/>
      <c r="O284" s="131"/>
      <c r="P284" s="131"/>
      <c r="Q284" s="131"/>
      <c r="R284" s="131"/>
      <c r="S284" s="131"/>
      <c r="T284" s="131"/>
      <c r="U284" s="131"/>
    </row>
    <row r="285" spans="2:21">
      <c r="B285" s="280"/>
      <c r="C285" s="197"/>
      <c r="D285" s="131" t="s">
        <v>164</v>
      </c>
      <c r="E285" s="131"/>
      <c r="F285" s="131"/>
      <c r="G285" s="131"/>
      <c r="H285" s="131"/>
      <c r="I285" s="131"/>
      <c r="J285" s="131"/>
      <c r="K285" s="131"/>
      <c r="L285" s="131"/>
      <c r="M285" s="131"/>
      <c r="N285" s="131"/>
      <c r="O285" s="131"/>
      <c r="P285" s="131"/>
      <c r="Q285" s="131"/>
      <c r="R285" s="131"/>
      <c r="S285" s="131"/>
      <c r="T285" s="131"/>
      <c r="U285" s="131"/>
    </row>
    <row r="286" spans="2:21">
      <c r="D286" s="126" t="s">
        <v>165</v>
      </c>
      <c r="E286" s="157"/>
      <c r="F286" s="157"/>
      <c r="G286" s="131"/>
      <c r="H286" s="131"/>
      <c r="I286" s="131"/>
      <c r="J286" s="131"/>
      <c r="K286" s="131"/>
      <c r="L286" s="131"/>
      <c r="M286" s="131"/>
      <c r="N286" s="131"/>
      <c r="O286" s="131"/>
      <c r="P286" s="131"/>
      <c r="Q286" s="131"/>
      <c r="R286" s="131"/>
      <c r="S286" s="131"/>
      <c r="T286" s="131"/>
      <c r="U286" s="131"/>
    </row>
    <row r="287" spans="2:21">
      <c r="D287" s="131" t="s">
        <v>267</v>
      </c>
      <c r="E287" s="131"/>
      <c r="F287" s="131"/>
      <c r="G287" s="131"/>
      <c r="H287" s="131"/>
      <c r="I287" s="131"/>
      <c r="J287" s="131"/>
      <c r="K287" s="131"/>
      <c r="L287" s="131"/>
      <c r="M287" s="131"/>
      <c r="N287" s="131"/>
      <c r="O287" s="131"/>
      <c r="P287" s="131"/>
      <c r="Q287" s="131"/>
      <c r="R287" s="131"/>
      <c r="S287" s="131"/>
      <c r="T287" s="131"/>
      <c r="U287" s="131"/>
    </row>
    <row r="288" spans="2:21">
      <c r="B288" s="136"/>
      <c r="C288" s="137"/>
      <c r="D288" s="131" t="s">
        <v>268</v>
      </c>
      <c r="E288" s="131"/>
      <c r="F288" s="131"/>
      <c r="G288" s="131"/>
      <c r="H288" s="131"/>
      <c r="I288" s="131"/>
      <c r="J288" s="131"/>
      <c r="K288" s="131"/>
      <c r="L288" s="131"/>
      <c r="M288" s="131"/>
      <c r="N288" s="131"/>
      <c r="O288" s="131"/>
      <c r="P288" s="131"/>
      <c r="Q288" s="131"/>
      <c r="R288" s="131"/>
      <c r="S288" s="131"/>
      <c r="T288" s="131"/>
      <c r="U288" s="131"/>
    </row>
    <row r="289" spans="2:21">
      <c r="B289" s="136"/>
      <c r="C289" s="137"/>
      <c r="D289" s="131" t="s">
        <v>166</v>
      </c>
      <c r="E289" s="131"/>
      <c r="F289" s="131"/>
      <c r="G289" s="131"/>
      <c r="H289" s="131"/>
      <c r="I289" s="131"/>
      <c r="J289" s="131"/>
      <c r="K289" s="131"/>
      <c r="L289" s="131"/>
      <c r="M289" s="131"/>
      <c r="N289" s="131"/>
      <c r="O289" s="131"/>
      <c r="P289" s="131"/>
      <c r="Q289" s="131"/>
      <c r="R289" s="131"/>
      <c r="S289" s="131"/>
      <c r="T289" s="131"/>
      <c r="U289" s="131"/>
    </row>
    <row r="290" spans="2:21">
      <c r="B290" s="136"/>
      <c r="C290" s="137"/>
      <c r="D290" s="131" t="s">
        <v>167</v>
      </c>
      <c r="E290" s="131"/>
      <c r="F290" s="131"/>
      <c r="G290" s="131"/>
      <c r="H290" s="131"/>
      <c r="I290" s="131"/>
      <c r="J290" s="131"/>
      <c r="K290" s="131"/>
      <c r="L290" s="131"/>
      <c r="M290" s="131"/>
      <c r="N290" s="131"/>
      <c r="O290" s="131"/>
      <c r="P290" s="131"/>
      <c r="Q290" s="131"/>
      <c r="R290" s="131"/>
      <c r="S290" s="131"/>
      <c r="T290" s="131"/>
      <c r="U290" s="131"/>
    </row>
    <row r="291" spans="2:21">
      <c r="B291" s="136"/>
      <c r="C291" s="137"/>
      <c r="D291" s="131" t="s">
        <v>603</v>
      </c>
      <c r="E291" s="131"/>
      <c r="F291" s="131"/>
      <c r="G291" s="131"/>
      <c r="H291" s="131"/>
      <c r="I291" s="131"/>
      <c r="J291" s="131"/>
      <c r="K291" s="131"/>
      <c r="L291" s="131"/>
      <c r="M291" s="131"/>
      <c r="N291" s="131"/>
      <c r="O291" s="131"/>
      <c r="P291" s="131"/>
      <c r="Q291" s="131"/>
      <c r="R291" s="131"/>
      <c r="S291" s="131"/>
      <c r="T291" s="131"/>
      <c r="U291" s="131"/>
    </row>
    <row r="292" spans="2:21">
      <c r="B292" s="136"/>
      <c r="C292" s="137"/>
      <c r="D292" s="131" t="s">
        <v>590</v>
      </c>
      <c r="E292" s="131"/>
      <c r="F292" s="131"/>
      <c r="G292" s="131"/>
      <c r="H292" s="131"/>
      <c r="I292" s="131"/>
      <c r="J292" s="131"/>
      <c r="K292" s="131"/>
      <c r="L292" s="131"/>
      <c r="M292" s="131"/>
      <c r="N292" s="131"/>
      <c r="O292" s="131"/>
      <c r="P292" s="131"/>
      <c r="Q292" s="131"/>
      <c r="R292" s="131"/>
      <c r="S292" s="131"/>
      <c r="T292" s="131"/>
      <c r="U292" s="131"/>
    </row>
    <row r="293" spans="2:21">
      <c r="B293" s="136"/>
      <c r="C293" s="137"/>
      <c r="D293" s="131" t="s">
        <v>604</v>
      </c>
      <c r="E293" s="131"/>
      <c r="F293" s="131"/>
      <c r="G293" s="131"/>
      <c r="H293" s="131"/>
      <c r="I293" s="131"/>
      <c r="J293" s="131"/>
      <c r="K293" s="131"/>
      <c r="L293" s="131"/>
      <c r="M293" s="131"/>
      <c r="N293" s="131"/>
      <c r="O293" s="131"/>
      <c r="P293" s="131"/>
      <c r="Q293" s="131"/>
      <c r="R293" s="131"/>
      <c r="S293" s="131"/>
      <c r="T293" s="131"/>
      <c r="U293" s="131"/>
    </row>
    <row r="294" spans="2:21">
      <c r="B294" s="136"/>
      <c r="C294" s="137"/>
      <c r="D294" s="131" t="s">
        <v>591</v>
      </c>
      <c r="E294" s="131"/>
      <c r="F294" s="131"/>
      <c r="G294" s="131"/>
      <c r="H294" s="131"/>
      <c r="I294" s="131"/>
      <c r="J294" s="131"/>
      <c r="K294" s="131"/>
      <c r="L294" s="131"/>
      <c r="M294" s="131"/>
      <c r="N294" s="131"/>
      <c r="O294" s="131"/>
      <c r="P294" s="131"/>
      <c r="Q294" s="131"/>
      <c r="R294" s="131"/>
      <c r="S294" s="131"/>
      <c r="T294" s="131"/>
      <c r="U294" s="131"/>
    </row>
    <row r="295" spans="2:21">
      <c r="B295" s="136"/>
      <c r="C295" s="137"/>
      <c r="D295" s="131" t="s">
        <v>273</v>
      </c>
      <c r="E295" s="131"/>
      <c r="F295" s="131"/>
      <c r="G295" s="131"/>
      <c r="H295" s="131"/>
      <c r="I295" s="131"/>
      <c r="J295" s="131"/>
      <c r="K295" s="131"/>
      <c r="L295" s="131"/>
      <c r="M295" s="131"/>
      <c r="N295" s="131"/>
      <c r="O295" s="131"/>
      <c r="P295" s="131"/>
      <c r="Q295" s="131"/>
      <c r="R295" s="131"/>
      <c r="S295" s="131"/>
      <c r="T295" s="131"/>
      <c r="U295" s="131"/>
    </row>
    <row r="296" spans="2:21">
      <c r="B296" s="136"/>
      <c r="C296" s="137"/>
      <c r="D296" s="132"/>
      <c r="E296" s="131"/>
      <c r="F296" s="131"/>
      <c r="G296" s="131"/>
      <c r="H296" s="131"/>
      <c r="I296" s="131"/>
      <c r="J296" s="131"/>
      <c r="K296" s="131"/>
      <c r="L296" s="131"/>
      <c r="M296" s="131"/>
      <c r="N296" s="131"/>
      <c r="O296" s="131"/>
      <c r="P296" s="131"/>
      <c r="Q296" s="131"/>
      <c r="R296" s="131"/>
      <c r="S296" s="131"/>
      <c r="T296" s="131"/>
      <c r="U296" s="131"/>
    </row>
    <row r="297" spans="2:21" ht="15" customHeight="1">
      <c r="B297" s="136" t="s">
        <v>439</v>
      </c>
      <c r="C297" s="137"/>
      <c r="D297" s="1123" t="s">
        <v>605</v>
      </c>
      <c r="E297" s="1124"/>
      <c r="F297" s="1124"/>
      <c r="G297" s="1124"/>
      <c r="H297" s="1124"/>
      <c r="I297" s="1124"/>
      <c r="J297" s="1124"/>
      <c r="K297" s="1124"/>
      <c r="L297" s="131"/>
      <c r="M297" s="131"/>
      <c r="N297" s="131"/>
      <c r="O297" s="131"/>
      <c r="P297" s="131"/>
      <c r="Q297" s="131"/>
      <c r="R297" s="131"/>
      <c r="S297" s="131"/>
      <c r="T297" s="131"/>
      <c r="U297" s="131"/>
    </row>
    <row r="298" spans="2:21">
      <c r="B298" s="136"/>
      <c r="C298" s="137"/>
      <c r="D298" s="1124"/>
      <c r="E298" s="1124"/>
      <c r="F298" s="1124"/>
      <c r="G298" s="1124"/>
      <c r="H298" s="1124"/>
      <c r="I298" s="1124"/>
      <c r="J298" s="1124"/>
      <c r="K298" s="1124"/>
      <c r="L298" s="131"/>
      <c r="M298" s="131"/>
      <c r="N298" s="131"/>
      <c r="O298" s="131"/>
      <c r="P298" s="131"/>
      <c r="Q298" s="131"/>
      <c r="R298" s="131"/>
      <c r="S298" s="131"/>
      <c r="T298" s="131"/>
      <c r="U298" s="131"/>
    </row>
    <row r="299" spans="2:21">
      <c r="E299" s="131"/>
      <c r="F299" s="131"/>
      <c r="G299" s="131"/>
      <c r="H299" s="131"/>
      <c r="I299" s="131"/>
      <c r="J299" s="131"/>
      <c r="K299" s="131"/>
      <c r="L299" s="131"/>
      <c r="M299" s="131"/>
      <c r="N299" s="131"/>
      <c r="O299" s="131"/>
      <c r="P299" s="131"/>
      <c r="Q299" s="131"/>
      <c r="R299" s="131"/>
      <c r="S299" s="131"/>
      <c r="T299" s="131"/>
      <c r="U299" s="131"/>
    </row>
    <row r="300" spans="2:21">
      <c r="B300" s="136" t="s">
        <v>440</v>
      </c>
      <c r="C300" s="137"/>
      <c r="D300" s="132" t="s">
        <v>792</v>
      </c>
      <c r="E300" s="131"/>
      <c r="F300" s="131"/>
      <c r="G300" s="131"/>
      <c r="H300" s="131"/>
      <c r="I300" s="131"/>
      <c r="J300" s="131"/>
      <c r="K300" s="131"/>
      <c r="L300" s="131"/>
      <c r="M300" s="131"/>
      <c r="N300" s="131"/>
      <c r="O300" s="131"/>
      <c r="P300" s="131"/>
      <c r="Q300" s="131"/>
      <c r="R300" s="131"/>
      <c r="S300" s="131"/>
      <c r="T300" s="131"/>
      <c r="U300" s="131"/>
    </row>
    <row r="301" spans="2:21">
      <c r="B301" s="136"/>
      <c r="C301" s="137"/>
      <c r="D301" s="132"/>
      <c r="E301" s="131"/>
      <c r="F301" s="131"/>
      <c r="G301" s="131"/>
      <c r="H301" s="131"/>
      <c r="I301" s="131"/>
      <c r="J301" s="131"/>
      <c r="K301" s="131"/>
      <c r="L301" s="131"/>
      <c r="M301" s="131"/>
      <c r="N301" s="131"/>
      <c r="O301" s="131"/>
      <c r="P301" s="131"/>
      <c r="Q301" s="131"/>
      <c r="R301" s="131"/>
      <c r="S301" s="131"/>
      <c r="T301" s="131"/>
      <c r="U301" s="131"/>
    </row>
    <row r="302" spans="2:21">
      <c r="B302" s="136" t="s">
        <v>441</v>
      </c>
      <c r="C302" s="137"/>
      <c r="D302" s="131" t="s">
        <v>30</v>
      </c>
      <c r="E302" s="131"/>
      <c r="F302" s="131"/>
      <c r="G302" s="131"/>
      <c r="H302" s="131"/>
      <c r="I302" s="131"/>
      <c r="J302" s="131"/>
      <c r="K302" s="131"/>
      <c r="L302" s="131"/>
      <c r="M302" s="131"/>
      <c r="N302" s="131"/>
      <c r="O302" s="131"/>
      <c r="P302" s="131"/>
      <c r="Q302" s="131"/>
      <c r="R302" s="131"/>
      <c r="S302" s="131"/>
      <c r="T302" s="131"/>
      <c r="U302" s="131"/>
    </row>
    <row r="303" spans="2:21">
      <c r="B303" s="136"/>
      <c r="C303" s="137"/>
      <c r="D303" s="131" t="s">
        <v>279</v>
      </c>
      <c r="E303" s="131"/>
      <c r="F303" s="131"/>
      <c r="G303" s="131"/>
      <c r="H303" s="131"/>
      <c r="I303" s="131"/>
      <c r="J303" s="131"/>
      <c r="K303" s="131"/>
      <c r="L303" s="131"/>
      <c r="M303" s="131"/>
      <c r="N303" s="131"/>
      <c r="O303" s="131"/>
      <c r="P303" s="131"/>
      <c r="Q303" s="131"/>
      <c r="R303" s="131"/>
      <c r="S303" s="131"/>
      <c r="T303" s="131"/>
      <c r="U303" s="131"/>
    </row>
    <row r="304" spans="2:21">
      <c r="B304" s="136"/>
      <c r="C304" s="137"/>
      <c r="D304" s="131" t="s">
        <v>285</v>
      </c>
      <c r="E304" s="131"/>
      <c r="F304" s="131"/>
      <c r="G304" s="131"/>
      <c r="H304" s="131"/>
      <c r="I304" s="131"/>
      <c r="J304" s="131"/>
      <c r="K304" s="131"/>
      <c r="L304" s="131"/>
      <c r="M304" s="131"/>
      <c r="N304" s="131"/>
      <c r="O304" s="131"/>
      <c r="P304" s="131"/>
      <c r="Q304" s="131"/>
      <c r="R304" s="131"/>
      <c r="S304" s="131"/>
      <c r="T304" s="131"/>
      <c r="U304" s="131"/>
    </row>
    <row r="305" spans="2:21">
      <c r="B305" s="136"/>
      <c r="C305" s="137"/>
      <c r="D305" s="131" t="s">
        <v>154</v>
      </c>
      <c r="E305" s="131"/>
      <c r="F305" s="131"/>
      <c r="G305" s="131"/>
      <c r="H305" s="131"/>
      <c r="I305" s="131"/>
      <c r="J305" s="131"/>
      <c r="K305" s="131"/>
      <c r="L305" s="131"/>
      <c r="M305" s="131"/>
      <c r="N305" s="131"/>
      <c r="O305" s="131"/>
      <c r="P305" s="131"/>
      <c r="Q305" s="131"/>
      <c r="R305" s="131"/>
      <c r="S305" s="131"/>
      <c r="T305" s="131"/>
      <c r="U305" s="131"/>
    </row>
    <row r="306" spans="2:21">
      <c r="B306" s="136"/>
      <c r="C306" s="137"/>
      <c r="D306" s="131" t="s">
        <v>592</v>
      </c>
      <c r="E306" s="131"/>
      <c r="F306" s="131"/>
      <c r="G306" s="131"/>
      <c r="H306" s="131"/>
      <c r="I306" s="131"/>
      <c r="J306" s="131"/>
      <c r="K306" s="131"/>
      <c r="L306" s="131"/>
      <c r="M306" s="131"/>
      <c r="N306" s="131"/>
      <c r="O306" s="131"/>
      <c r="P306" s="131"/>
      <c r="Q306" s="131"/>
      <c r="R306" s="131"/>
      <c r="S306" s="131"/>
      <c r="T306" s="131"/>
      <c r="U306" s="131"/>
    </row>
    <row r="307" spans="2:21">
      <c r="B307" s="136"/>
      <c r="C307" s="137"/>
      <c r="D307" s="131" t="s">
        <v>593</v>
      </c>
      <c r="E307" s="131"/>
      <c r="F307" s="131"/>
      <c r="G307" s="131"/>
      <c r="H307" s="131"/>
      <c r="I307" s="131"/>
      <c r="J307" s="131"/>
      <c r="K307" s="131"/>
      <c r="L307" s="131"/>
      <c r="M307" s="131"/>
      <c r="N307" s="131"/>
      <c r="O307" s="131"/>
      <c r="P307" s="131"/>
      <c r="Q307" s="131"/>
      <c r="R307" s="131"/>
      <c r="S307" s="131"/>
      <c r="T307" s="131"/>
      <c r="U307" s="131"/>
    </row>
    <row r="308" spans="2:21">
      <c r="B308" s="136"/>
      <c r="C308" s="137"/>
      <c r="D308" s="131" t="s">
        <v>594</v>
      </c>
      <c r="E308" s="131"/>
      <c r="F308" s="131"/>
      <c r="G308" s="131"/>
      <c r="H308" s="131"/>
      <c r="I308" s="131"/>
      <c r="J308" s="131"/>
      <c r="K308" s="131"/>
      <c r="L308" s="131"/>
      <c r="M308" s="131"/>
      <c r="N308" s="131"/>
      <c r="O308" s="131"/>
      <c r="P308" s="131"/>
      <c r="Q308" s="131"/>
      <c r="R308" s="131"/>
      <c r="S308" s="131"/>
      <c r="T308" s="131"/>
      <c r="U308" s="131"/>
    </row>
    <row r="309" spans="2:21">
      <c r="B309" s="136"/>
      <c r="C309" s="137"/>
      <c r="D309" s="131" t="s">
        <v>100</v>
      </c>
      <c r="E309" s="131"/>
      <c r="F309" s="131"/>
      <c r="G309" s="131"/>
      <c r="H309" s="131"/>
      <c r="I309" s="131"/>
      <c r="J309" s="131"/>
      <c r="K309" s="131"/>
      <c r="L309" s="131"/>
      <c r="M309" s="131"/>
      <c r="N309" s="131"/>
      <c r="O309" s="131"/>
      <c r="P309" s="131"/>
      <c r="Q309" s="131"/>
      <c r="R309" s="131"/>
      <c r="S309" s="131"/>
      <c r="T309" s="131"/>
      <c r="U309" s="131"/>
    </row>
    <row r="310" spans="2:21">
      <c r="B310" s="136"/>
      <c r="C310" s="137"/>
      <c r="D310" s="131"/>
      <c r="E310" s="131"/>
      <c r="F310" s="131"/>
      <c r="G310" s="131"/>
      <c r="H310" s="131"/>
      <c r="I310" s="131"/>
      <c r="J310" s="131"/>
      <c r="K310" s="131"/>
      <c r="L310" s="131"/>
      <c r="M310" s="131"/>
      <c r="N310" s="131"/>
      <c r="O310" s="131"/>
      <c r="P310" s="131"/>
      <c r="Q310" s="131"/>
      <c r="R310" s="131"/>
      <c r="S310" s="131"/>
      <c r="T310" s="131"/>
      <c r="U310" s="131"/>
    </row>
    <row r="311" spans="2:21">
      <c r="B311" s="136" t="s">
        <v>442</v>
      </c>
      <c r="C311" s="131"/>
      <c r="D311" s="131" t="str">
        <f>"Cash Working Capital assigned to transmission is one-eighth of O&amp;M allocated to transmission, as shown on line "&amp;B140&amp;". It excludes:"</f>
        <v>Cash Working Capital assigned to transmission is one-eighth of O&amp;M allocated to transmission, as shown on line 66. It excludes:</v>
      </c>
      <c r="E311" s="3"/>
      <c r="F311" s="3"/>
      <c r="G311" s="3"/>
      <c r="H311" s="3"/>
      <c r="I311" s="3"/>
      <c r="J311" s="3"/>
      <c r="K311" s="3"/>
      <c r="L311" s="281"/>
      <c r="M311" s="131"/>
      <c r="N311" s="131"/>
      <c r="O311" s="131"/>
      <c r="P311" s="131"/>
      <c r="Q311" s="131"/>
      <c r="R311" s="131"/>
      <c r="S311" s="131"/>
      <c r="T311" s="131"/>
      <c r="U311" s="131"/>
    </row>
    <row r="312" spans="2:21">
      <c r="B312" s="136"/>
      <c r="C312" s="131"/>
      <c r="D312" s="282" t="str">
        <f>+"1)  Load Scheduling &amp; Dispatch Charges in account 561 that are collected in the OATT Ancilliary Services Revenue, as shown on line "&amp;B137&amp;"."</f>
        <v>1)  Load Scheduling &amp; Dispatch Charges in account 561 that are collected in the OATT Ancilliary Services Revenue, as shown on line 63.</v>
      </c>
      <c r="E312" s="41"/>
      <c r="F312" s="41"/>
      <c r="G312" s="41"/>
      <c r="H312" s="41"/>
      <c r="I312" s="41"/>
      <c r="J312" s="41"/>
      <c r="K312" s="41"/>
      <c r="L312" s="281"/>
      <c r="M312" s="131"/>
      <c r="N312" s="131"/>
      <c r="O312" s="131"/>
      <c r="P312" s="131"/>
      <c r="Q312" s="131"/>
      <c r="R312" s="131"/>
      <c r="S312" s="131"/>
      <c r="T312" s="131"/>
      <c r="U312" s="131"/>
    </row>
    <row r="313" spans="2:21">
      <c r="B313" s="136"/>
      <c r="C313" s="131"/>
      <c r="D313" s="283" t="str">
        <f>+"2)  Costs of Transmission of Electricity by Others, as described in Note H."</f>
        <v>2)  Costs of Transmission of Electricity by Others, as described in Note H.</v>
      </c>
      <c r="E313" s="3"/>
      <c r="F313" s="3"/>
      <c r="G313" s="3"/>
      <c r="H313" s="3"/>
      <c r="I313" s="3"/>
      <c r="J313" s="3"/>
      <c r="K313" s="3"/>
      <c r="L313" s="281"/>
      <c r="M313" s="131"/>
      <c r="N313" s="131"/>
      <c r="O313" s="131"/>
      <c r="P313" s="131"/>
      <c r="Q313" s="131"/>
      <c r="R313" s="131"/>
      <c r="S313" s="131"/>
      <c r="T313" s="131"/>
      <c r="U313" s="131"/>
    </row>
    <row r="314" spans="2:21">
      <c r="B314" s="136"/>
      <c r="C314" s="131"/>
      <c r="D314" s="282" t="str">
        <f>+"3)  The impact of state regulatory deferrals and amortizations, as shown on line  "&amp;B139&amp;""</f>
        <v>3)  The impact of state regulatory deferrals and amortizations, as shown on line  65</v>
      </c>
      <c r="E314" s="41"/>
      <c r="F314" s="41"/>
      <c r="G314" s="41"/>
      <c r="H314" s="41"/>
      <c r="I314" s="41"/>
      <c r="J314" s="41"/>
      <c r="K314" s="41"/>
      <c r="L314" s="281"/>
      <c r="M314" s="131"/>
      <c r="N314" s="131"/>
      <c r="O314" s="131"/>
      <c r="P314" s="131"/>
      <c r="Q314" s="131"/>
      <c r="R314" s="131"/>
      <c r="S314" s="131"/>
      <c r="T314" s="131"/>
      <c r="U314" s="131"/>
    </row>
    <row r="315" spans="2:21">
      <c r="B315" s="136"/>
      <c r="C315" s="41"/>
      <c r="D315" s="283" t="str">
        <f>"4) All A&amp;G Expenses, as shown on line "&amp;B154&amp;"."</f>
        <v>4) All A&amp;G Expenses, as shown on line 78.</v>
      </c>
      <c r="E315" s="3"/>
      <c r="F315" s="3"/>
      <c r="G315" s="3"/>
      <c r="H315" s="3"/>
      <c r="I315" s="3"/>
      <c r="J315" s="3"/>
      <c r="K315" s="3"/>
      <c r="L315" s="281"/>
      <c r="M315" s="131"/>
      <c r="N315" s="131"/>
      <c r="O315" s="131"/>
      <c r="P315" s="131"/>
      <c r="Q315" s="131"/>
      <c r="R315" s="131"/>
      <c r="S315" s="131"/>
      <c r="T315" s="131"/>
      <c r="U315" s="131"/>
    </row>
    <row r="316" spans="2:21">
      <c r="B316" s="136"/>
      <c r="C316" s="137"/>
      <c r="D316" s="282"/>
      <c r="E316" s="282"/>
      <c r="F316" s="282"/>
      <c r="G316" s="282"/>
      <c r="H316" s="282"/>
      <c r="I316" s="282"/>
      <c r="J316" s="282"/>
      <c r="K316" s="282"/>
      <c r="L316" s="131"/>
      <c r="M316" s="131"/>
      <c r="N316" s="131"/>
      <c r="O316" s="131"/>
      <c r="P316" s="131"/>
      <c r="Q316" s="131"/>
      <c r="R316" s="131"/>
      <c r="S316" s="131"/>
      <c r="T316" s="131"/>
      <c r="U316" s="131"/>
    </row>
    <row r="317" spans="2:21">
      <c r="B317" s="280" t="s">
        <v>443</v>
      </c>
      <c r="C317" s="197"/>
      <c r="D317" s="284" t="str">
        <f>"Consistent with Paragraph 657 of Order 2003-A, the amount on line "&amp;B116&amp;" is equal to the balance of IPP System Upgrade Credits owed to transmission customers that"</f>
        <v>Consistent with Paragraph 657 of Order 2003-A, the amount on line 57 is equal to the balance of IPP System Upgrade Credits owed to transmission customers that</v>
      </c>
      <c r="E317" s="284"/>
      <c r="F317" s="284"/>
      <c r="G317" s="284"/>
      <c r="H317" s="284"/>
      <c r="I317" s="284"/>
      <c r="J317" s="284"/>
      <c r="K317" s="284"/>
      <c r="M317" s="131"/>
      <c r="N317" s="131"/>
      <c r="O317" s="131"/>
      <c r="P317" s="131"/>
      <c r="Q317" s="131"/>
      <c r="R317" s="131"/>
      <c r="S317" s="131"/>
      <c r="T317" s="131"/>
      <c r="U317" s="131"/>
    </row>
    <row r="318" spans="2:21">
      <c r="D318" s="284" t="s">
        <v>499</v>
      </c>
      <c r="E318" s="284"/>
      <c r="F318" s="284"/>
      <c r="G318" s="284"/>
      <c r="H318" s="284"/>
      <c r="I318" s="284"/>
      <c r="J318" s="284"/>
      <c r="K318" s="284"/>
      <c r="M318" s="131"/>
      <c r="N318" s="131"/>
      <c r="O318" s="131"/>
      <c r="P318" s="131"/>
      <c r="Q318" s="131"/>
      <c r="R318" s="131"/>
      <c r="S318" s="131"/>
      <c r="T318" s="131"/>
      <c r="U318" s="131"/>
    </row>
    <row r="319" spans="2:21">
      <c r="D319" s="284" t="str">
        <f>"expense is included on line "&amp;B193&amp;"."</f>
        <v>expense is included on line 110.</v>
      </c>
      <c r="E319" s="284"/>
      <c r="F319" s="284"/>
      <c r="G319" s="284"/>
      <c r="H319" s="284"/>
      <c r="I319" s="284"/>
      <c r="J319" s="284"/>
      <c r="K319" s="284"/>
      <c r="M319" s="131"/>
      <c r="N319" s="131"/>
      <c r="O319" s="131"/>
      <c r="P319" s="131"/>
      <c r="Q319" s="131"/>
      <c r="R319" s="131"/>
      <c r="S319" s="131"/>
      <c r="T319" s="131"/>
      <c r="U319" s="131"/>
    </row>
    <row r="320" spans="2:21" ht="21" customHeight="1">
      <c r="D320" s="284"/>
      <c r="E320" s="284"/>
      <c r="F320" s="284"/>
      <c r="G320" s="284"/>
      <c r="H320" s="284"/>
      <c r="I320" s="284"/>
      <c r="J320" s="284"/>
      <c r="K320" s="284"/>
      <c r="N320" s="131"/>
      <c r="O320" s="131"/>
      <c r="P320" s="131"/>
      <c r="Q320" s="131"/>
      <c r="R320" s="131"/>
      <c r="S320" s="131"/>
      <c r="T320" s="131"/>
      <c r="U320" s="131"/>
    </row>
    <row r="321" spans="2:21" ht="14.25" customHeight="1">
      <c r="B321" s="280" t="s">
        <v>444</v>
      </c>
      <c r="D321" s="1137" t="str">
        <f>"Removes from the cost of service the Load Scheduling and Dispatch expenses booked to accounts 561.1 through 561.8.  Expenses recorded in these accounts, with the exception of 561.4 &amp; 561.8 (lines "&amp;B42&amp;" &amp; "&amp;B43&amp;"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21" s="1137"/>
      <c r="F321" s="1137"/>
      <c r="G321" s="1137"/>
      <c r="H321" s="1137"/>
      <c r="I321" s="1137"/>
      <c r="J321" s="1137"/>
      <c r="K321" s="1137"/>
      <c r="N321" s="131"/>
      <c r="O321" s="131"/>
      <c r="P321" s="131"/>
      <c r="Q321" s="131"/>
      <c r="R321" s="131"/>
      <c r="S321" s="131"/>
      <c r="T321" s="131"/>
      <c r="U321" s="131"/>
    </row>
    <row r="322" spans="2:21" ht="45" customHeight="1">
      <c r="B322" s="280"/>
      <c r="D322" s="1137"/>
      <c r="E322" s="1137"/>
      <c r="F322" s="1137"/>
      <c r="G322" s="1137"/>
      <c r="H322" s="1137"/>
      <c r="I322" s="1137"/>
      <c r="J322" s="1137"/>
      <c r="K322" s="1137"/>
      <c r="N322" s="131"/>
      <c r="O322" s="131"/>
      <c r="P322" s="131"/>
      <c r="Q322" s="131"/>
      <c r="R322" s="131"/>
      <c r="S322" s="131"/>
      <c r="T322" s="131"/>
      <c r="U322" s="131"/>
    </row>
    <row r="323" spans="2:21" ht="5.25" hidden="1" customHeight="1">
      <c r="B323" s="280"/>
      <c r="D323" s="1137"/>
      <c r="E323" s="1137"/>
      <c r="F323" s="1137"/>
      <c r="G323" s="1137"/>
      <c r="H323" s="1137"/>
      <c r="I323" s="1137"/>
      <c r="J323" s="1137"/>
      <c r="K323" s="1137"/>
      <c r="N323" s="131"/>
      <c r="O323" s="131"/>
      <c r="P323" s="131"/>
      <c r="Q323" s="131"/>
      <c r="R323" s="131"/>
      <c r="S323" s="131"/>
      <c r="T323" s="131"/>
      <c r="U323" s="131"/>
    </row>
    <row r="324" spans="2:21">
      <c r="B324" s="280"/>
      <c r="D324" s="282"/>
      <c r="E324" s="284"/>
      <c r="F324" s="284"/>
      <c r="G324" s="284"/>
      <c r="H324" s="284"/>
      <c r="I324" s="284"/>
      <c r="J324" s="284"/>
      <c r="K324" s="284"/>
      <c r="N324" s="131"/>
      <c r="O324" s="131"/>
      <c r="P324" s="131"/>
      <c r="Q324" s="131"/>
      <c r="R324" s="131"/>
      <c r="S324" s="131"/>
      <c r="T324" s="131"/>
      <c r="U324" s="131"/>
    </row>
    <row r="325" spans="2:21">
      <c r="B325" s="280" t="s">
        <v>445</v>
      </c>
      <c r="D325" s="1140" t="str">
        <f>"Removes cost of transmission service provided by others to determine the basis of cash working capital on line "&amp;B140&amp;". To the extent such service is incurred to provide the PJM service at issue, e.g. lease payments to affiliates, such costs are added back on line "&amp;B157&amp;" to determine the total O&amp;M collected in the formula.  The amounts on line"&amp;B157&amp;" is also excluded in the calculation of the FCR percentage calculated on lines "&amp;B26&amp;" through "&amp;B34&amp;"."</f>
        <v>Removes cost of transmission service provided by others to determine the basis of cash working capital on line 66. To the extent such service is incurred to provide the PJM service at issue, e.g. lease payments to affiliates, such costs are added back on line 80 to determine the total O&amp;M collected in the formula.  The amounts on line80 is also excluded in the calculation of the FCR percentage calculated on lines 6 through 12.</v>
      </c>
      <c r="E325" s="1140"/>
      <c r="F325" s="1140"/>
      <c r="G325" s="1140"/>
      <c r="H325" s="1140"/>
      <c r="I325" s="1140"/>
      <c r="J325" s="1140"/>
      <c r="K325" s="1140"/>
      <c r="N325" s="131"/>
      <c r="O325" s="131"/>
      <c r="P325" s="131"/>
      <c r="Q325" s="131"/>
      <c r="R325" s="131"/>
      <c r="S325" s="131"/>
      <c r="T325" s="131"/>
      <c r="U325" s="131"/>
    </row>
    <row r="326" spans="2:21">
      <c r="B326" s="280"/>
      <c r="D326" s="1140"/>
      <c r="E326" s="1140"/>
      <c r="F326" s="1140"/>
      <c r="G326" s="1140"/>
      <c r="H326" s="1140"/>
      <c r="I326" s="1140"/>
      <c r="J326" s="1140"/>
      <c r="K326" s="1140"/>
      <c r="N326" s="131"/>
      <c r="O326" s="131"/>
      <c r="P326" s="131"/>
      <c r="Q326" s="131"/>
      <c r="R326" s="131"/>
      <c r="S326" s="131"/>
      <c r="T326" s="131"/>
      <c r="U326" s="131"/>
    </row>
    <row r="327" spans="2:21">
      <c r="B327" s="280"/>
      <c r="D327" s="1141"/>
      <c r="E327" s="1141"/>
      <c r="F327" s="1141"/>
      <c r="G327" s="1141"/>
      <c r="H327" s="1141"/>
      <c r="I327" s="1141"/>
      <c r="J327" s="1141"/>
      <c r="K327" s="1141"/>
      <c r="N327" s="131"/>
      <c r="O327" s="131"/>
      <c r="P327" s="131"/>
      <c r="Q327" s="131"/>
      <c r="R327" s="131"/>
      <c r="S327" s="131"/>
      <c r="T327" s="131"/>
      <c r="U327" s="131"/>
    </row>
    <row r="328" spans="2:21">
      <c r="B328" s="280"/>
      <c r="D328" s="1142" t="str">
        <f>"The addbacks  on line"&amp;B157&amp;" of activity recorded in 565 represents inter-company sales or purchases of transmission capacity necessary to meet each AEP company's transmission load relative to their available transmission capacity."</f>
        <v>The addbacks  on line80 of activity recorded in 565 represents inter-company sales or purchases of transmission capacity necessary to meet each AEP company's transmission load relative to their available transmission capacity.</v>
      </c>
      <c r="E328" s="1142"/>
      <c r="F328" s="1142"/>
      <c r="G328" s="1142"/>
      <c r="H328" s="1142"/>
      <c r="I328" s="1142"/>
      <c r="J328" s="1142"/>
      <c r="K328" s="285"/>
      <c r="N328" s="131"/>
      <c r="O328" s="131"/>
      <c r="P328" s="131"/>
      <c r="Q328" s="131"/>
      <c r="R328" s="131"/>
      <c r="S328" s="131"/>
      <c r="T328" s="131"/>
      <c r="U328" s="131"/>
    </row>
    <row r="329" spans="2:21">
      <c r="B329" s="280"/>
      <c r="D329" s="1142"/>
      <c r="E329" s="1142"/>
      <c r="F329" s="1142"/>
      <c r="G329" s="1142"/>
      <c r="H329" s="1142"/>
      <c r="I329" s="1142"/>
      <c r="J329" s="1142"/>
      <c r="K329" s="285"/>
      <c r="N329" s="131"/>
      <c r="O329" s="131"/>
      <c r="P329" s="131"/>
      <c r="Q329" s="131"/>
      <c r="R329" s="131"/>
      <c r="S329" s="131"/>
      <c r="T329" s="131"/>
      <c r="U329" s="131"/>
    </row>
    <row r="330" spans="2:21" ht="22.5" customHeight="1">
      <c r="B330" s="280"/>
      <c r="D330" s="284" t="str">
        <f>"The company records referenced on line"&amp;B157&amp;" is the "&amp;F9&amp;" general ledger."</f>
        <v>The company records referenced on line80 is the AEP Ohio Transmission Company general ledger.</v>
      </c>
      <c r="E330" s="286"/>
      <c r="F330" s="286"/>
      <c r="G330" s="286"/>
      <c r="H330" s="286"/>
      <c r="I330" s="286"/>
      <c r="J330" s="286"/>
      <c r="K330" s="285"/>
      <c r="N330" s="131"/>
      <c r="O330" s="131"/>
      <c r="P330" s="131"/>
      <c r="Q330" s="131"/>
      <c r="R330" s="131"/>
      <c r="S330" s="131"/>
      <c r="T330" s="131"/>
      <c r="U330" s="131"/>
    </row>
    <row r="331" spans="2:21">
      <c r="B331" s="280"/>
      <c r="D331" s="286"/>
      <c r="E331" s="286"/>
      <c r="F331" s="286"/>
      <c r="G331" s="286"/>
      <c r="H331" s="286"/>
      <c r="I331" s="286"/>
      <c r="J331" s="286"/>
      <c r="K331" s="286"/>
      <c r="N331" s="131"/>
      <c r="O331" s="131"/>
      <c r="P331" s="131"/>
      <c r="Q331" s="131"/>
      <c r="R331" s="131"/>
      <c r="S331" s="131"/>
      <c r="T331" s="131"/>
      <c r="U331" s="131"/>
    </row>
    <row r="332" spans="2:21">
      <c r="B332" s="280" t="s">
        <v>446</v>
      </c>
      <c r="D332" s="284" t="s">
        <v>595</v>
      </c>
      <c r="E332" s="41"/>
      <c r="F332" s="41"/>
      <c r="G332" s="41"/>
      <c r="H332" s="41"/>
      <c r="I332" s="41"/>
      <c r="J332" s="41"/>
      <c r="K332" s="41"/>
      <c r="N332" s="131"/>
      <c r="O332" s="131"/>
      <c r="P332" s="131"/>
      <c r="Q332" s="131"/>
      <c r="R332" s="131"/>
      <c r="S332" s="131"/>
      <c r="T332" s="131"/>
      <c r="U332" s="131"/>
    </row>
    <row r="333" spans="2:21">
      <c r="B333" s="280"/>
      <c r="D333" s="287"/>
      <c r="E333" s="287"/>
      <c r="F333" s="287"/>
      <c r="G333" s="287"/>
      <c r="H333" s="287"/>
      <c r="I333" s="287"/>
      <c r="J333" s="287"/>
      <c r="K333" s="287"/>
      <c r="N333" s="131"/>
      <c r="O333" s="131"/>
      <c r="P333" s="131"/>
      <c r="Q333" s="131"/>
      <c r="R333" s="131"/>
      <c r="S333" s="131"/>
      <c r="T333" s="131"/>
      <c r="U333" s="131"/>
    </row>
    <row r="334" spans="2:21" ht="15" customHeight="1">
      <c r="B334" s="280" t="s">
        <v>447</v>
      </c>
      <c r="D334" s="1144" t="s">
        <v>7</v>
      </c>
      <c r="E334" s="1124"/>
      <c r="F334" s="1124"/>
      <c r="G334" s="1124"/>
      <c r="H334" s="1124"/>
      <c r="I334" s="1124"/>
      <c r="J334" s="1124"/>
      <c r="K334" s="284"/>
      <c r="N334" s="131"/>
      <c r="O334" s="131"/>
      <c r="P334" s="131"/>
      <c r="Q334" s="131"/>
      <c r="R334" s="131"/>
      <c r="S334" s="131"/>
      <c r="T334" s="131"/>
      <c r="U334" s="131"/>
    </row>
    <row r="335" spans="2:21">
      <c r="B335" s="280"/>
      <c r="D335" s="1145"/>
      <c r="E335" s="1145"/>
      <c r="F335" s="1145"/>
      <c r="G335" s="1145"/>
      <c r="H335" s="1145"/>
      <c r="I335" s="1145"/>
      <c r="J335" s="1145"/>
      <c r="K335" s="287"/>
      <c r="N335" s="131"/>
      <c r="O335" s="131"/>
      <c r="P335" s="131"/>
      <c r="Q335" s="131"/>
      <c r="R335" s="131"/>
      <c r="S335" s="131"/>
      <c r="T335" s="131"/>
      <c r="U335" s="131"/>
    </row>
    <row r="336" spans="2:21">
      <c r="B336" s="280"/>
      <c r="D336" s="1124"/>
      <c r="E336" s="1124"/>
      <c r="F336" s="1124"/>
      <c r="G336" s="1124"/>
      <c r="H336" s="1124"/>
      <c r="I336" s="1124"/>
      <c r="J336" s="1124"/>
      <c r="K336" s="284"/>
      <c r="N336" s="131"/>
      <c r="O336" s="131"/>
      <c r="P336" s="131"/>
      <c r="Q336" s="131"/>
      <c r="R336" s="131"/>
      <c r="S336" s="131"/>
      <c r="T336" s="131"/>
      <c r="U336" s="131"/>
    </row>
    <row r="337" spans="2:21">
      <c r="B337" s="280"/>
      <c r="N337" s="131"/>
      <c r="O337" s="131"/>
      <c r="P337" s="131"/>
      <c r="Q337" s="131"/>
      <c r="R337" s="131"/>
      <c r="S337" s="131"/>
      <c r="T337" s="131"/>
      <c r="U337" s="131"/>
    </row>
    <row r="338" spans="2:21" ht="15" customHeight="1">
      <c r="B338" s="136" t="s">
        <v>448</v>
      </c>
      <c r="D338" s="1138" t="s">
        <v>789</v>
      </c>
      <c r="E338" s="1139"/>
      <c r="F338" s="1139"/>
      <c r="G338" s="1139"/>
      <c r="H338" s="1139"/>
      <c r="I338" s="1139"/>
      <c r="J338" s="1139"/>
      <c r="K338" s="1139"/>
      <c r="N338" s="131"/>
      <c r="O338" s="131"/>
      <c r="P338" s="131"/>
      <c r="Q338" s="131"/>
      <c r="R338" s="131"/>
      <c r="S338" s="131"/>
      <c r="T338" s="131"/>
      <c r="U338" s="131"/>
    </row>
    <row r="339" spans="2:21">
      <c r="B339" s="280"/>
      <c r="N339" s="131"/>
      <c r="O339" s="131"/>
      <c r="P339" s="131"/>
      <c r="Q339" s="131"/>
      <c r="R339" s="131"/>
      <c r="S339" s="131"/>
      <c r="T339" s="131"/>
      <c r="U339" s="131"/>
    </row>
    <row r="340" spans="2:21">
      <c r="B340" s="136" t="s">
        <v>449</v>
      </c>
      <c r="C340" s="137"/>
      <c r="D340" s="131" t="s">
        <v>150</v>
      </c>
      <c r="E340" s="131"/>
      <c r="F340" s="131"/>
      <c r="G340" s="131"/>
      <c r="H340" s="131"/>
      <c r="I340" s="131"/>
      <c r="J340" s="131"/>
      <c r="K340" s="131"/>
      <c r="L340" s="131"/>
      <c r="N340" s="131"/>
      <c r="O340" s="131"/>
      <c r="P340" s="131"/>
      <c r="Q340" s="131"/>
      <c r="R340" s="131"/>
      <c r="S340" s="131"/>
      <c r="T340" s="131"/>
      <c r="U340" s="131"/>
    </row>
    <row r="341" spans="2:21">
      <c r="B341" s="136"/>
      <c r="C341" s="137"/>
      <c r="D341" s="131" t="s">
        <v>269</v>
      </c>
      <c r="E341" s="131"/>
      <c r="F341" s="131"/>
      <c r="G341" s="131"/>
      <c r="H341" s="131"/>
      <c r="I341" s="131"/>
      <c r="J341" s="131"/>
      <c r="K341" s="131"/>
      <c r="L341" s="131"/>
      <c r="N341" s="131"/>
      <c r="O341" s="131"/>
      <c r="P341" s="131"/>
      <c r="Q341" s="131"/>
      <c r="R341" s="131"/>
      <c r="S341" s="131"/>
      <c r="T341" s="131"/>
      <c r="U341" s="131"/>
    </row>
    <row r="342" spans="2:21">
      <c r="B342" s="136"/>
      <c r="C342" s="137"/>
      <c r="D342" s="131" t="s">
        <v>270</v>
      </c>
      <c r="E342" s="131"/>
      <c r="F342" s="131"/>
      <c r="G342" s="131"/>
      <c r="H342" s="131"/>
      <c r="I342" s="131"/>
      <c r="J342" s="131"/>
      <c r="K342" s="131"/>
      <c r="L342" s="131"/>
      <c r="N342" s="131"/>
      <c r="O342" s="131"/>
      <c r="P342" s="131"/>
      <c r="Q342" s="131"/>
      <c r="R342" s="131"/>
      <c r="S342" s="131"/>
      <c r="T342" s="131"/>
      <c r="U342" s="131"/>
    </row>
    <row r="343" spans="2:21">
      <c r="B343" s="136"/>
      <c r="C343" s="137"/>
      <c r="D343" s="126" t="s">
        <v>271</v>
      </c>
      <c r="E343" s="131"/>
      <c r="F343" s="131"/>
      <c r="G343" s="131"/>
      <c r="H343" s="131"/>
      <c r="I343" s="131"/>
      <c r="J343" s="131"/>
      <c r="K343" s="131"/>
      <c r="L343" s="131"/>
      <c r="N343" s="131"/>
      <c r="O343" s="131"/>
      <c r="P343" s="131"/>
      <c r="Q343" s="131"/>
      <c r="R343" s="131"/>
      <c r="S343" s="131"/>
      <c r="T343" s="131"/>
      <c r="U343" s="131"/>
    </row>
    <row r="344" spans="2:21">
      <c r="B344" s="136"/>
      <c r="C344" s="137"/>
      <c r="E344" s="131"/>
      <c r="F344" s="131"/>
      <c r="G344" s="131"/>
      <c r="H344" s="131"/>
      <c r="I344" s="131"/>
      <c r="J344" s="131"/>
      <c r="K344" s="131"/>
      <c r="L344" s="131"/>
      <c r="N344" s="131"/>
      <c r="O344" s="131"/>
      <c r="P344" s="131"/>
      <c r="Q344" s="131"/>
      <c r="R344" s="131"/>
      <c r="S344" s="131"/>
      <c r="T344" s="131"/>
      <c r="U344" s="131"/>
    </row>
    <row r="345" spans="2:21" ht="25.5" customHeight="1">
      <c r="B345" s="136" t="s">
        <v>450</v>
      </c>
      <c r="C345" s="137"/>
      <c r="D345" s="1143" t="s">
        <v>790</v>
      </c>
      <c r="E345" s="1143"/>
      <c r="F345" s="1143"/>
      <c r="G345" s="1143"/>
      <c r="H345" s="1143"/>
      <c r="I345" s="1143"/>
      <c r="J345" s="1143"/>
      <c r="K345" s="1143"/>
      <c r="L345" s="1143"/>
      <c r="N345" s="131"/>
      <c r="O345" s="131"/>
      <c r="P345" s="131"/>
      <c r="Q345" s="131"/>
      <c r="R345" s="131"/>
      <c r="S345" s="131"/>
      <c r="T345" s="131"/>
      <c r="U345" s="131"/>
    </row>
    <row r="346" spans="2:21">
      <c r="B346" s="136"/>
      <c r="C346" s="137"/>
      <c r="D346" s="1143"/>
      <c r="E346" s="1143"/>
      <c r="F346" s="1143"/>
      <c r="G346" s="1143"/>
      <c r="H346" s="1143"/>
      <c r="I346" s="1143"/>
      <c r="J346" s="1143"/>
      <c r="K346" s="1143"/>
      <c r="L346" s="1143"/>
      <c r="N346" s="131"/>
      <c r="O346" s="131"/>
      <c r="P346" s="131"/>
      <c r="Q346" s="131"/>
      <c r="R346" s="131"/>
      <c r="S346" s="131"/>
      <c r="T346" s="131"/>
      <c r="U346" s="131"/>
    </row>
    <row r="347" spans="2:21">
      <c r="B347" s="136"/>
      <c r="C347" s="137"/>
      <c r="D347" s="1143"/>
      <c r="E347" s="1143"/>
      <c r="F347" s="1143"/>
      <c r="G347" s="1143"/>
      <c r="H347" s="1143"/>
      <c r="I347" s="1143"/>
      <c r="J347" s="1143"/>
      <c r="K347" s="1143"/>
      <c r="L347" s="1143"/>
      <c r="N347" s="131"/>
      <c r="O347" s="131"/>
      <c r="P347" s="131"/>
      <c r="Q347" s="131"/>
      <c r="R347" s="131"/>
      <c r="S347" s="131"/>
      <c r="T347" s="131"/>
      <c r="U347" s="131"/>
    </row>
    <row r="348" spans="2:21">
      <c r="B348" s="136"/>
      <c r="C348" s="137"/>
      <c r="D348" s="210"/>
      <c r="E348" s="131"/>
      <c r="F348" s="131"/>
      <c r="G348" s="131"/>
      <c r="H348" s="131"/>
      <c r="I348" s="131"/>
      <c r="J348" s="131"/>
      <c r="K348" s="131"/>
      <c r="L348" s="131"/>
      <c r="N348" s="131"/>
      <c r="O348" s="131"/>
      <c r="P348" s="131"/>
      <c r="Q348" s="131"/>
      <c r="R348" s="131"/>
      <c r="S348" s="131"/>
      <c r="T348" s="131"/>
      <c r="U348" s="131"/>
    </row>
    <row r="349" spans="2:21">
      <c r="B349" s="197" t="s">
        <v>31</v>
      </c>
      <c r="C349" s="137"/>
      <c r="D349" s="131" t="s">
        <v>586</v>
      </c>
      <c r="E349" s="132"/>
      <c r="F349" s="132"/>
      <c r="G349" s="132"/>
      <c r="H349" s="132"/>
      <c r="I349" s="132"/>
      <c r="J349" s="132"/>
      <c r="N349" s="131"/>
      <c r="O349" s="131"/>
      <c r="P349" s="131"/>
      <c r="Q349" s="131"/>
      <c r="R349" s="131"/>
      <c r="S349" s="131"/>
      <c r="T349" s="131"/>
      <c r="U349" s="131"/>
    </row>
    <row r="350" spans="2:21">
      <c r="B350" s="197"/>
      <c r="C350" s="137"/>
      <c r="D350" s="132"/>
      <c r="E350" s="132"/>
      <c r="F350" s="132"/>
      <c r="G350" s="132"/>
      <c r="H350" s="132"/>
      <c r="I350" s="132"/>
      <c r="J350" s="132"/>
      <c r="N350" s="131"/>
      <c r="O350" s="131"/>
      <c r="P350" s="131"/>
      <c r="Q350" s="131"/>
      <c r="R350" s="131"/>
      <c r="S350" s="131"/>
      <c r="T350" s="131"/>
      <c r="U350" s="131"/>
    </row>
    <row r="351" spans="2:21">
      <c r="B351" s="136" t="s">
        <v>99</v>
      </c>
      <c r="C351" s="137"/>
      <c r="D351" s="131" t="s">
        <v>138</v>
      </c>
      <c r="N351" s="131"/>
      <c r="O351" s="131"/>
      <c r="P351" s="131"/>
      <c r="Q351" s="131"/>
      <c r="R351" s="131"/>
      <c r="S351" s="131"/>
      <c r="T351" s="131"/>
      <c r="U351" s="131"/>
    </row>
    <row r="352" spans="2:21">
      <c r="B352" s="197"/>
      <c r="C352" s="137"/>
      <c r="D352" s="131" t="s">
        <v>18</v>
      </c>
      <c r="N352" s="131"/>
      <c r="O352" s="131"/>
      <c r="P352" s="131"/>
      <c r="Q352" s="131"/>
      <c r="R352" s="131"/>
      <c r="S352" s="131"/>
      <c r="T352" s="131"/>
      <c r="U352" s="131"/>
    </row>
    <row r="353" spans="2:21">
      <c r="B353" s="197"/>
      <c r="C353" s="137"/>
      <c r="D353" s="131" t="s">
        <v>19</v>
      </c>
      <c r="N353" s="131"/>
      <c r="O353" s="131"/>
      <c r="P353" s="131"/>
      <c r="Q353" s="131"/>
      <c r="R353" s="131"/>
      <c r="S353" s="131"/>
      <c r="T353" s="131"/>
      <c r="U353" s="131"/>
    </row>
    <row r="354" spans="2:21">
      <c r="B354" s="197"/>
      <c r="C354" s="137"/>
      <c r="D354" s="131" t="s">
        <v>20</v>
      </c>
      <c r="N354" s="131"/>
      <c r="O354" s="131"/>
      <c r="P354" s="131"/>
      <c r="Q354" s="131"/>
      <c r="R354" s="131"/>
      <c r="S354" s="131"/>
      <c r="T354" s="131"/>
      <c r="U354" s="131"/>
    </row>
    <row r="355" spans="2:21">
      <c r="B355" s="136"/>
      <c r="C355" s="137"/>
      <c r="D355" s="131" t="str">
        <f>"(ln "&amp;B182&amp;") multiplied by (1/1-T) .  If the applicable tax rates are zero enter 0."</f>
        <v>(ln 101) multiplied by (1/1-T) .  If the applicable tax rates are zero enter 0.</v>
      </c>
      <c r="N355" s="131"/>
      <c r="O355" s="131"/>
      <c r="P355" s="131"/>
      <c r="Q355" s="131"/>
      <c r="R355" s="131"/>
      <c r="S355" s="131"/>
      <c r="T355" s="131"/>
      <c r="U355" s="131"/>
    </row>
    <row r="356" spans="2:21">
      <c r="B356" s="288"/>
      <c r="C356" s="131"/>
      <c r="D356" s="131" t="s">
        <v>139</v>
      </c>
      <c r="E356" s="131" t="s">
        <v>140</v>
      </c>
      <c r="F356" s="120">
        <v>0.21</v>
      </c>
      <c r="G356" s="131"/>
      <c r="N356" s="131"/>
      <c r="O356" s="131"/>
      <c r="P356" s="131"/>
      <c r="Q356" s="131"/>
      <c r="R356" s="131"/>
      <c r="S356" s="131"/>
      <c r="T356" s="131"/>
      <c r="U356" s="131"/>
    </row>
    <row r="357" spans="2:21">
      <c r="B357" s="288"/>
      <c r="C357" s="131"/>
      <c r="D357" s="131"/>
      <c r="E357" s="131" t="s">
        <v>141</v>
      </c>
      <c r="F357" s="157">
        <f>'WS G  State Tax Rate'!F29</f>
        <v>2.3999999999999998E-3</v>
      </c>
      <c r="G357" s="131" t="s">
        <v>293</v>
      </c>
      <c r="N357" s="131"/>
      <c r="O357" s="131"/>
      <c r="P357" s="131"/>
      <c r="Q357" s="131"/>
      <c r="R357" s="131"/>
      <c r="S357" s="131"/>
      <c r="T357" s="131"/>
      <c r="U357" s="131"/>
    </row>
    <row r="358" spans="2:21">
      <c r="B358" s="288"/>
      <c r="C358" s="131"/>
      <c r="D358" s="131"/>
      <c r="E358" s="131" t="s">
        <v>142</v>
      </c>
      <c r="F358" s="120">
        <v>0</v>
      </c>
      <c r="G358" s="131" t="s">
        <v>143</v>
      </c>
      <c r="N358" s="131"/>
      <c r="O358" s="131"/>
      <c r="P358" s="131"/>
      <c r="Q358" s="131"/>
      <c r="R358" s="131"/>
      <c r="S358" s="131"/>
      <c r="T358" s="131"/>
      <c r="U358" s="131"/>
    </row>
    <row r="359" spans="2:21" ht="46.5" customHeight="1">
      <c r="B359" s="197"/>
      <c r="C359" s="137"/>
      <c r="D359" s="1146" t="s">
        <v>596</v>
      </c>
      <c r="E359" s="1146"/>
      <c r="F359" s="1146"/>
      <c r="G359" s="1146"/>
      <c r="H359" s="1146"/>
      <c r="I359" s="1146"/>
      <c r="J359" s="1146"/>
      <c r="M359" s="131"/>
      <c r="N359" s="131"/>
      <c r="O359" s="131"/>
      <c r="P359" s="131"/>
      <c r="Q359" s="131"/>
      <c r="R359" s="131"/>
      <c r="S359" s="131"/>
      <c r="T359" s="131"/>
      <c r="U359" s="131"/>
    </row>
    <row r="360" spans="2:21">
      <c r="B360" s="136" t="s">
        <v>144</v>
      </c>
      <c r="C360" s="137"/>
      <c r="D360" s="131" t="s">
        <v>539</v>
      </c>
      <c r="N360" s="131"/>
      <c r="O360" s="131"/>
      <c r="P360" s="131"/>
      <c r="Q360" s="131"/>
      <c r="R360" s="131"/>
      <c r="S360" s="131"/>
      <c r="T360" s="131"/>
      <c r="U360" s="131"/>
    </row>
    <row r="361" spans="2:21">
      <c r="B361" s="126"/>
      <c r="D361" s="131"/>
      <c r="N361" s="131"/>
      <c r="O361" s="131"/>
      <c r="P361" s="131"/>
      <c r="Q361" s="131"/>
      <c r="R361" s="131"/>
      <c r="S361" s="131"/>
      <c r="T361" s="131"/>
      <c r="U361" s="131"/>
    </row>
    <row r="362" spans="2:21">
      <c r="B362" s="136" t="s">
        <v>145</v>
      </c>
      <c r="C362" s="137"/>
      <c r="D362" s="131" t="s">
        <v>351</v>
      </c>
      <c r="N362" s="131"/>
      <c r="O362" s="131"/>
      <c r="P362" s="131"/>
      <c r="Q362" s="131"/>
      <c r="R362" s="131"/>
      <c r="S362" s="131"/>
      <c r="T362" s="131"/>
      <c r="U362" s="131"/>
    </row>
    <row r="363" spans="2:21">
      <c r="B363" s="136"/>
      <c r="C363" s="137"/>
      <c r="D363" s="131"/>
      <c r="E363" s="131"/>
      <c r="F363" s="131"/>
      <c r="G363" s="131"/>
      <c r="H363" s="131"/>
      <c r="I363" s="131"/>
      <c r="J363" s="131"/>
      <c r="K363" s="131"/>
      <c r="L363" s="131"/>
      <c r="M363" s="131"/>
      <c r="N363" s="131"/>
      <c r="O363" s="131"/>
      <c r="P363" s="131"/>
      <c r="Q363" s="131"/>
      <c r="R363" s="131"/>
      <c r="S363" s="131"/>
      <c r="T363" s="131"/>
      <c r="U363" s="131"/>
    </row>
    <row r="364" spans="2:21">
      <c r="B364" s="136" t="s">
        <v>146</v>
      </c>
      <c r="C364" s="137"/>
      <c r="D364" s="131" t="s">
        <v>611</v>
      </c>
      <c r="E364" s="131"/>
      <c r="F364" s="131"/>
      <c r="G364" s="131"/>
      <c r="H364" s="131"/>
      <c r="I364" s="131"/>
      <c r="J364" s="131"/>
      <c r="K364" s="131"/>
      <c r="L364" s="131"/>
      <c r="M364" s="131"/>
      <c r="N364" s="131"/>
      <c r="O364" s="131"/>
      <c r="P364" s="131"/>
      <c r="Q364" s="131"/>
      <c r="R364" s="131"/>
      <c r="S364" s="131"/>
      <c r="T364" s="131"/>
      <c r="U364" s="131"/>
    </row>
    <row r="365" spans="2:21">
      <c r="B365" s="136"/>
      <c r="C365" s="137"/>
      <c r="D365" s="131"/>
      <c r="E365" s="131"/>
      <c r="F365" s="131"/>
      <c r="G365" s="131"/>
      <c r="H365" s="131"/>
      <c r="I365" s="131"/>
      <c r="J365" s="131"/>
      <c r="K365" s="131"/>
      <c r="L365" s="131"/>
      <c r="M365" s="131"/>
      <c r="N365" s="131"/>
      <c r="O365" s="131"/>
      <c r="P365" s="131"/>
      <c r="Q365" s="131"/>
      <c r="R365" s="131"/>
      <c r="S365" s="131"/>
      <c r="T365" s="131"/>
      <c r="U365" s="131"/>
    </row>
    <row r="366" spans="2:21" ht="15.75" customHeight="1">
      <c r="B366" s="289" t="s">
        <v>147</v>
      </c>
      <c r="C366" s="154"/>
      <c r="D366" s="1125" t="str">
        <f>"Long Term Debt cost rate = long-term interest (Ln " &amp; B239 &amp;")/average long term debt (Ln "&amp;B249&amp;").  Preferred Stock cost rate = preferred dividends (Ln "&amp;B240&amp;")/preferred outstanding (ln "&amp;B250&amp;")."</f>
        <v>Long Term Debt cost rate = long-term interest (Ln 128)/average long term debt (Ln 136).  Preferred Stock cost rate = preferred dividends (Ln 129)/preferred outstanding (ln 137).</v>
      </c>
      <c r="E366" s="1125"/>
      <c r="F366" s="1125"/>
      <c r="G366" s="1125"/>
      <c r="H366" s="1125"/>
      <c r="I366" s="1125"/>
      <c r="J366" s="1125"/>
      <c r="M366"/>
      <c r="N366"/>
      <c r="O366" s="131"/>
      <c r="P366" s="131"/>
      <c r="Q366" s="131"/>
      <c r="R366" s="131"/>
      <c r="S366" s="131"/>
      <c r="T366" s="131"/>
      <c r="U366" s="131"/>
    </row>
    <row r="367" spans="2:21" ht="15.75">
      <c r="B367" s="154"/>
      <c r="C367" s="154"/>
      <c r="D367" s="1125" t="s">
        <v>791</v>
      </c>
      <c r="E367" s="1125"/>
      <c r="F367" s="1125"/>
      <c r="G367" s="1125"/>
      <c r="H367" s="1125"/>
      <c r="I367" s="1125"/>
      <c r="J367" s="1125"/>
      <c r="M367"/>
      <c r="N367"/>
      <c r="O367" s="131"/>
      <c r="P367" s="131"/>
      <c r="Q367" s="131"/>
      <c r="R367" s="131"/>
      <c r="S367" s="131"/>
      <c r="T367" s="131"/>
      <c r="U367" s="131"/>
    </row>
    <row r="368" spans="2:21" ht="15.75">
      <c r="B368" s="154"/>
      <c r="C368" s="154"/>
      <c r="D368" s="1125"/>
      <c r="E368" s="1125"/>
      <c r="F368" s="1125"/>
      <c r="G368" s="1125"/>
      <c r="H368" s="1125"/>
      <c r="I368" s="1125"/>
      <c r="J368" s="1125"/>
      <c r="M368"/>
      <c r="N368"/>
      <c r="O368" s="131"/>
      <c r="P368" s="131"/>
      <c r="Q368" s="131"/>
      <c r="R368" s="131"/>
      <c r="S368" s="131"/>
      <c r="T368" s="131"/>
      <c r="U368" s="131"/>
    </row>
    <row r="369" spans="2:21" ht="95.25" customHeight="1">
      <c r="B369" s="154"/>
      <c r="C369" s="154"/>
      <c r="D369" s="1125"/>
      <c r="E369" s="1125"/>
      <c r="F369" s="1125"/>
      <c r="G369" s="1125"/>
      <c r="H369" s="1125"/>
      <c r="I369" s="1125"/>
      <c r="J369" s="1125"/>
      <c r="M369"/>
      <c r="N369"/>
      <c r="O369" s="131"/>
      <c r="P369" s="131"/>
      <c r="Q369" s="131"/>
      <c r="R369" s="131"/>
      <c r="S369" s="131"/>
      <c r="T369" s="131"/>
      <c r="U369" s="131"/>
    </row>
    <row r="370" spans="2:21" ht="0.75" hidden="1" customHeight="1">
      <c r="B370" s="154"/>
      <c r="C370" s="154"/>
      <c r="D370" s="290"/>
      <c r="E370" s="290"/>
      <c r="F370" s="290"/>
      <c r="G370" s="290"/>
      <c r="H370" s="290"/>
      <c r="I370" s="290"/>
      <c r="J370" s="290"/>
      <c r="M370"/>
      <c r="N370"/>
      <c r="O370" s="131"/>
      <c r="P370" s="131"/>
      <c r="Q370" s="131"/>
      <c r="R370" s="131"/>
      <c r="S370" s="131"/>
      <c r="T370" s="131"/>
      <c r="U370" s="131"/>
    </row>
    <row r="371" spans="2:21" ht="54.75" hidden="1" customHeight="1">
      <c r="B371" s="154"/>
      <c r="C371" s="154"/>
      <c r="D371" s="290"/>
      <c r="E371" s="290"/>
      <c r="F371" s="290"/>
      <c r="G371" s="290"/>
      <c r="H371" s="290"/>
      <c r="I371" s="290"/>
      <c r="J371" s="290"/>
      <c r="M371"/>
      <c r="N371"/>
      <c r="O371" s="131"/>
      <c r="P371" s="131"/>
      <c r="Q371" s="131"/>
      <c r="R371" s="131"/>
      <c r="S371" s="131"/>
      <c r="T371" s="131"/>
      <c r="U371" s="131"/>
    </row>
    <row r="372" spans="2:21" ht="16.5" customHeight="1">
      <c r="B372" s="154"/>
      <c r="C372" s="154"/>
      <c r="D372" s="290"/>
      <c r="E372" s="290"/>
      <c r="F372" s="290"/>
      <c r="G372" s="290"/>
      <c r="H372" s="290"/>
      <c r="I372" s="290"/>
      <c r="J372" s="290"/>
      <c r="M372"/>
      <c r="N372"/>
      <c r="O372" s="131"/>
      <c r="P372" s="131"/>
      <c r="Q372" s="131"/>
      <c r="R372" s="131"/>
      <c r="S372" s="131"/>
      <c r="T372" s="131"/>
      <c r="U372" s="131"/>
    </row>
    <row r="373" spans="2:21" ht="98.25" customHeight="1">
      <c r="B373" s="136" t="s">
        <v>193</v>
      </c>
      <c r="C373" s="154"/>
      <c r="D373" s="1135" t="s">
        <v>754</v>
      </c>
      <c r="E373" s="1136"/>
      <c r="F373" s="1136"/>
      <c r="G373" s="1136"/>
      <c r="H373" s="1136"/>
      <c r="I373" s="1136"/>
      <c r="J373" s="1136"/>
      <c r="M373" s="131"/>
      <c r="N373" s="131"/>
      <c r="O373" s="131"/>
      <c r="P373" s="131"/>
      <c r="Q373" s="131"/>
      <c r="R373" s="131"/>
      <c r="S373" s="131"/>
      <c r="T373" s="131"/>
      <c r="U373" s="131"/>
    </row>
    <row r="374" spans="2:21" ht="15.75">
      <c r="B374" s="136"/>
      <c r="C374" s="154"/>
      <c r="D374" s="290"/>
      <c r="E374" s="291"/>
      <c r="F374" s="291"/>
      <c r="G374" s="291"/>
      <c r="H374" s="291"/>
      <c r="I374" s="291"/>
      <c r="J374" s="291"/>
      <c r="M374" s="131"/>
      <c r="N374" s="131"/>
      <c r="O374" s="131"/>
      <c r="P374" s="131"/>
      <c r="Q374" s="131"/>
      <c r="R374" s="131"/>
      <c r="S374" s="131"/>
      <c r="T374" s="131"/>
      <c r="U374" s="131"/>
    </row>
    <row r="375" spans="2:21">
      <c r="B375" s="136" t="s">
        <v>551</v>
      </c>
      <c r="C375" s="292"/>
      <c r="D375" s="1134" t="s">
        <v>597</v>
      </c>
      <c r="E375" s="1134"/>
      <c r="F375" s="1134"/>
      <c r="G375" s="1134"/>
      <c r="H375" s="1134"/>
      <c r="I375" s="1134"/>
      <c r="J375" s="1134"/>
      <c r="K375" s="293"/>
      <c r="M375" s="131"/>
      <c r="N375" s="131"/>
      <c r="O375" s="131"/>
      <c r="P375" s="131"/>
      <c r="Q375" s="131"/>
      <c r="R375" s="131"/>
      <c r="S375" s="131"/>
      <c r="T375" s="131"/>
      <c r="U375" s="131"/>
    </row>
    <row r="376" spans="2:21">
      <c r="B376" s="136"/>
      <c r="C376" s="137"/>
      <c r="D376" s="126" t="s">
        <v>406</v>
      </c>
      <c r="M376" s="131"/>
      <c r="N376" s="131"/>
      <c r="O376" s="131"/>
      <c r="P376" s="131"/>
      <c r="Q376" s="131"/>
      <c r="R376" s="131"/>
      <c r="S376" s="131"/>
      <c r="T376" s="131"/>
      <c r="U376" s="131"/>
    </row>
    <row r="377" spans="2:21">
      <c r="B377" s="136" t="s">
        <v>598</v>
      </c>
      <c r="C377" s="137"/>
      <c r="D377" s="126" t="s">
        <v>599</v>
      </c>
      <c r="M377" s="131"/>
      <c r="N377" s="131"/>
      <c r="O377" s="131"/>
      <c r="P377" s="131"/>
      <c r="Q377" s="131"/>
      <c r="R377" s="131"/>
      <c r="S377" s="131"/>
      <c r="T377" s="131"/>
      <c r="U377" s="131"/>
    </row>
    <row r="378" spans="2:21">
      <c r="B378" s="136"/>
      <c r="C378" s="137"/>
      <c r="M378" s="131"/>
      <c r="N378" s="131"/>
      <c r="O378" s="131"/>
      <c r="P378" s="131"/>
      <c r="Q378" s="131"/>
      <c r="R378" s="131"/>
      <c r="S378" s="131"/>
      <c r="T378" s="131"/>
      <c r="U378" s="131"/>
    </row>
    <row r="379" spans="2:21" ht="30" customHeight="1">
      <c r="B379" s="136" t="s">
        <v>600</v>
      </c>
      <c r="C379" s="137"/>
      <c r="D379" s="1134" t="s">
        <v>601</v>
      </c>
      <c r="E379" s="1134"/>
      <c r="F379" s="1134"/>
      <c r="G379" s="1134"/>
      <c r="H379" s="1134"/>
      <c r="I379" s="1134"/>
      <c r="J379" s="1134"/>
      <c r="K379" s="1134"/>
      <c r="M379" s="131"/>
      <c r="N379" s="131"/>
      <c r="O379" s="131"/>
      <c r="P379" s="131"/>
      <c r="Q379" s="131"/>
      <c r="R379" s="131"/>
      <c r="S379" s="131"/>
      <c r="T379" s="131"/>
      <c r="U379" s="131"/>
    </row>
    <row r="380" spans="2:21">
      <c r="B380"/>
      <c r="C380"/>
      <c r="D380"/>
      <c r="E380"/>
      <c r="F380"/>
      <c r="G380"/>
      <c r="H380"/>
      <c r="M380" s="131"/>
      <c r="N380" s="131"/>
      <c r="O380" s="131"/>
      <c r="P380" s="131"/>
      <c r="Q380" s="131"/>
      <c r="R380" s="131"/>
      <c r="S380" s="131"/>
      <c r="T380" s="131"/>
      <c r="U380" s="131"/>
    </row>
    <row r="381" spans="2:21" ht="46.5" customHeight="1">
      <c r="B381" s="1" t="s">
        <v>602</v>
      </c>
      <c r="C381"/>
      <c r="D381" s="1134" t="s">
        <v>606</v>
      </c>
      <c r="E381" s="1134"/>
      <c r="F381" s="1134"/>
      <c r="G381" s="1134"/>
      <c r="H381" s="1134"/>
      <c r="I381" s="1134"/>
      <c r="J381" s="1134"/>
      <c r="K381" s="1134"/>
      <c r="M381" s="131"/>
      <c r="N381" s="131"/>
      <c r="O381" s="131"/>
      <c r="P381" s="131"/>
      <c r="Q381" s="131"/>
      <c r="R381" s="131"/>
      <c r="S381" s="131"/>
      <c r="T381" s="131"/>
      <c r="U381" s="131"/>
    </row>
    <row r="382" spans="2:21">
      <c r="B382" s="1"/>
      <c r="C382"/>
      <c r="D382" s="1080"/>
      <c r="E382" s="1080"/>
      <c r="F382" s="1080"/>
      <c r="G382" s="1080"/>
      <c r="H382" s="1080"/>
      <c r="I382" s="1080"/>
      <c r="J382" s="1080"/>
      <c r="K382" s="1080"/>
      <c r="M382" s="131"/>
      <c r="N382" s="131"/>
      <c r="O382" s="131"/>
      <c r="P382" s="131"/>
      <c r="Q382" s="131"/>
      <c r="R382" s="131"/>
      <c r="S382" s="131"/>
      <c r="T382" s="131"/>
      <c r="U382" s="131"/>
    </row>
    <row r="383" spans="2:21">
      <c r="B383" s="903" t="s">
        <v>635</v>
      </c>
      <c r="C383" s="904"/>
      <c r="D383" s="905" t="s">
        <v>636</v>
      </c>
      <c r="E383" s="741"/>
      <c r="F383" s="741"/>
      <c r="G383" s="741"/>
      <c r="H383" s="741"/>
      <c r="M383" s="131"/>
      <c r="N383" s="131"/>
      <c r="O383" s="131"/>
      <c r="P383" s="131"/>
      <c r="Q383" s="131"/>
      <c r="R383" s="131"/>
      <c r="S383" s="131"/>
      <c r="T383" s="131"/>
      <c r="U383" s="131"/>
    </row>
    <row r="384" spans="2:21">
      <c r="B384" s="903"/>
      <c r="C384" s="904"/>
      <c r="D384" s="905"/>
      <c r="E384" s="741"/>
      <c r="F384" s="741"/>
      <c r="G384" s="741"/>
      <c r="H384" s="741"/>
      <c r="M384" s="131"/>
      <c r="N384" s="131"/>
      <c r="O384" s="131"/>
      <c r="P384" s="131"/>
      <c r="Q384" s="131"/>
      <c r="R384" s="131"/>
      <c r="S384" s="131"/>
      <c r="T384" s="131"/>
      <c r="U384" s="131"/>
    </row>
    <row r="385" spans="2:21">
      <c r="B385" s="136" t="s">
        <v>834</v>
      </c>
      <c r="C385" s="137"/>
      <c r="D385" s="1133" t="s">
        <v>835</v>
      </c>
      <c r="E385" s="1133"/>
      <c r="F385" s="1133"/>
      <c r="G385" s="1133"/>
      <c r="H385" s="1133"/>
      <c r="I385" s="1133"/>
      <c r="J385" s="1133"/>
      <c r="K385" s="1133"/>
      <c r="M385" s="131"/>
      <c r="N385" s="131"/>
      <c r="O385" s="131"/>
      <c r="P385" s="131"/>
      <c r="Q385" s="131"/>
      <c r="R385" s="131"/>
      <c r="S385" s="131"/>
      <c r="T385" s="131"/>
      <c r="U385" s="131"/>
    </row>
    <row r="386" spans="2:21">
      <c r="B386" s="126"/>
      <c r="D386" s="1133"/>
      <c r="E386" s="1133"/>
      <c r="F386" s="1133"/>
      <c r="G386" s="1133"/>
      <c r="H386" s="1133"/>
      <c r="I386" s="1133"/>
      <c r="J386" s="1133"/>
      <c r="K386" s="1133"/>
      <c r="M386" s="131"/>
      <c r="N386" s="131"/>
      <c r="O386" s="131"/>
      <c r="P386" s="131"/>
      <c r="Q386" s="131"/>
      <c r="R386" s="131"/>
      <c r="S386" s="131"/>
      <c r="T386" s="131"/>
      <c r="U386" s="131"/>
    </row>
    <row r="387" spans="2:21">
      <c r="B387" s="280"/>
      <c r="M387" s="131"/>
      <c r="N387" s="131"/>
      <c r="O387" s="131"/>
      <c r="P387" s="131"/>
      <c r="Q387" s="131"/>
      <c r="R387" s="131"/>
      <c r="S387" s="131"/>
      <c r="T387" s="131"/>
      <c r="U387" s="131"/>
    </row>
    <row r="388" spans="2:21">
      <c r="M388" s="131"/>
      <c r="N388" s="131"/>
      <c r="O388" s="131"/>
      <c r="P388" s="131"/>
      <c r="Q388" s="131"/>
      <c r="R388" s="131"/>
      <c r="S388" s="131"/>
      <c r="T388" s="131"/>
      <c r="U388" s="131"/>
    </row>
    <row r="389" spans="2:21">
      <c r="B389" s="280"/>
      <c r="H389" s="131"/>
      <c r="I389" s="131"/>
      <c r="J389" s="131"/>
      <c r="K389" s="131"/>
      <c r="L389" s="131"/>
      <c r="M389" s="131"/>
      <c r="N389" s="131"/>
      <c r="O389" s="131"/>
      <c r="P389" s="131"/>
      <c r="Q389" s="131"/>
      <c r="R389" s="131"/>
      <c r="S389" s="131"/>
      <c r="T389" s="131"/>
      <c r="U389" s="131"/>
    </row>
    <row r="390" spans="2:21">
      <c r="B390" s="126"/>
      <c r="H390" s="131"/>
      <c r="K390" s="131"/>
      <c r="L390" s="131"/>
      <c r="M390" s="131"/>
      <c r="N390" s="131"/>
      <c r="O390" s="131"/>
      <c r="P390" s="131"/>
      <c r="Q390" s="131"/>
      <c r="R390" s="131"/>
      <c r="S390" s="131"/>
      <c r="T390" s="131"/>
      <c r="U390" s="131"/>
    </row>
  </sheetData>
  <mergeCells count="23">
    <mergeCell ref="D385:K386"/>
    <mergeCell ref="D381:K381"/>
    <mergeCell ref="D373:J373"/>
    <mergeCell ref="D321:K323"/>
    <mergeCell ref="D338:K338"/>
    <mergeCell ref="D325:K327"/>
    <mergeCell ref="D375:J375"/>
    <mergeCell ref="D328:J329"/>
    <mergeCell ref="D345:L347"/>
    <mergeCell ref="D334:J336"/>
    <mergeCell ref="D379:K379"/>
    <mergeCell ref="D359:J359"/>
    <mergeCell ref="D367:J369"/>
    <mergeCell ref="G265:H265"/>
    <mergeCell ref="G247:H247"/>
    <mergeCell ref="D297:K298"/>
    <mergeCell ref="D366:J366"/>
    <mergeCell ref="B21:I22"/>
    <mergeCell ref="I57:J57"/>
    <mergeCell ref="I60:J60"/>
    <mergeCell ref="I127:J127"/>
    <mergeCell ref="I130:J130"/>
    <mergeCell ref="D39:L39"/>
  </mergeCells>
  <phoneticPr fontId="0" type="noConversion"/>
  <pageMargins left="0.26" right="1.28" top="1" bottom="1" header="0.86" footer="0.5"/>
  <pageSetup scale="32" fitToHeight="5" orientation="portrait" r:id="rId1"/>
  <headerFooter alignWithMargins="0">
    <oddHeader>&amp;R&amp;"Arial,Bold"Formula Rate 
&amp;A
Page &amp;P of &amp;N</oddHeader>
  </headerFooter>
  <rowBreaks count="4" manualBreakCount="4">
    <brk id="48" max="11" man="1"/>
    <brk id="119" max="11" man="1"/>
    <brk id="200" max="11" man="1"/>
    <brk id="271" max="11"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V151"/>
  <sheetViews>
    <sheetView topLeftCell="A8" zoomScaleNormal="100" workbookViewId="0">
      <selection activeCell="K34" sqref="K34"/>
    </sheetView>
  </sheetViews>
  <sheetFormatPr defaultRowHeight="15"/>
  <cols>
    <col min="1" max="1" width="9.42578125" style="367" customWidth="1"/>
    <col min="2" max="2" width="6.7109375" style="367" customWidth="1"/>
    <col min="3" max="7" width="12.7109375" style="367" customWidth="1"/>
    <col min="8" max="8" width="19.28515625" style="367" customWidth="1"/>
    <col min="9" max="9" width="15" style="367" bestFit="1" customWidth="1"/>
    <col min="10" max="11" width="16.5703125" style="367" bestFit="1" customWidth="1"/>
    <col min="12" max="13" width="22.140625" style="367" bestFit="1" customWidth="1"/>
    <col min="14" max="14" width="8.42578125" style="367" customWidth="1"/>
    <col min="15" max="38" width="12.7109375" style="367" customWidth="1"/>
    <col min="39" max="16384" width="9.140625" style="367"/>
  </cols>
  <sheetData>
    <row r="1" spans="1:22" ht="15.75">
      <c r="A1" s="730" t="s">
        <v>406</v>
      </c>
    </row>
    <row r="2" spans="1:22" ht="15.75">
      <c r="A2" s="730" t="s">
        <v>406</v>
      </c>
    </row>
    <row r="3" spans="1:22">
      <c r="A3" s="1148" t="str">
        <f>TCOS!$F$5</f>
        <v>AEPTCo subsidiaries in PJM</v>
      </c>
      <c r="B3" s="1148" t="str">
        <f>TCOS!$F$5</f>
        <v>AEPTCo subsidiaries in PJM</v>
      </c>
      <c r="C3" s="1148" t="str">
        <f>TCOS!$F$5</f>
        <v>AEPTCo subsidiaries in PJM</v>
      </c>
      <c r="D3" s="1148" t="str">
        <f>TCOS!$F$5</f>
        <v>AEPTCo subsidiaries in PJM</v>
      </c>
      <c r="E3" s="1148" t="str">
        <f>TCOS!$F$5</f>
        <v>AEPTCo subsidiaries in PJM</v>
      </c>
      <c r="F3" s="1148" t="str">
        <f>TCOS!$F$5</f>
        <v>AEPTCo subsidiaries in PJM</v>
      </c>
      <c r="G3" s="1148" t="str">
        <f>TCOS!$F$5</f>
        <v>AEPTCo subsidiaries in PJM</v>
      </c>
      <c r="H3" s="1148" t="str">
        <f>TCOS!$F$5</f>
        <v>AEPTCo subsidiaries in PJM</v>
      </c>
      <c r="I3" s="1148" t="str">
        <f>TCOS!$F$5</f>
        <v>AEPTCo subsidiaries in PJM</v>
      </c>
      <c r="J3" s="1148" t="str">
        <f>TCOS!$F$5</f>
        <v>AEPTCo subsidiaries in PJM</v>
      </c>
      <c r="K3" s="1148" t="str">
        <f>TCOS!$F$5</f>
        <v>AEPTCo subsidiaries in PJM</v>
      </c>
      <c r="L3" s="17"/>
      <c r="M3" s="17"/>
      <c r="N3" s="17"/>
      <c r="O3" s="17"/>
    </row>
    <row r="4" spans="1:22">
      <c r="A4" s="1149" t="str">
        <f>"Cost of Service Formula Rate Using Actual/Projected FF1 Balances"</f>
        <v>Cost of Service Formula Rate Using Actual/Projected FF1 Balances</v>
      </c>
      <c r="B4" s="1149"/>
      <c r="C4" s="1149"/>
      <c r="D4" s="1149"/>
      <c r="E4" s="1149"/>
      <c r="F4" s="1149"/>
      <c r="G4" s="1149"/>
      <c r="H4" s="1149"/>
      <c r="I4" s="1149"/>
      <c r="J4" s="1149"/>
      <c r="K4" s="1149"/>
      <c r="L4" s="45"/>
      <c r="M4" s="45"/>
      <c r="N4" s="45"/>
      <c r="O4" s="45"/>
    </row>
    <row r="5" spans="1:22">
      <c r="A5" s="1149" t="s">
        <v>22</v>
      </c>
      <c r="B5" s="1149"/>
      <c r="C5" s="1149"/>
      <c r="D5" s="1149"/>
      <c r="E5" s="1149"/>
      <c r="F5" s="1149"/>
      <c r="G5" s="1149"/>
      <c r="H5" s="1149"/>
      <c r="I5" s="1149"/>
      <c r="J5" s="1149"/>
      <c r="K5" s="1149"/>
      <c r="L5" s="44"/>
      <c r="M5" s="44"/>
      <c r="N5" s="44"/>
      <c r="O5" s="44"/>
    </row>
    <row r="6" spans="1:22">
      <c r="A6" s="1159" t="str">
        <f>TCOS!F9</f>
        <v>AEP Ohio Transmission Company</v>
      </c>
      <c r="B6" s="1159"/>
      <c r="C6" s="1159"/>
      <c r="D6" s="1159"/>
      <c r="E6" s="1159"/>
      <c r="F6" s="1159"/>
      <c r="G6" s="1159"/>
      <c r="H6" s="1159"/>
      <c r="I6" s="1159"/>
      <c r="J6" s="1159"/>
      <c r="K6" s="1159"/>
      <c r="L6" s="2"/>
      <c r="M6" s="2"/>
      <c r="N6" s="2"/>
      <c r="O6" s="2"/>
    </row>
    <row r="8" spans="1:22" ht="18">
      <c r="A8" s="1184"/>
      <c r="B8" s="1184"/>
      <c r="C8" s="1184"/>
      <c r="D8" s="1184"/>
      <c r="E8" s="1184"/>
      <c r="F8" s="1184"/>
      <c r="G8" s="1184"/>
      <c r="H8" s="1184"/>
      <c r="I8" s="1184"/>
      <c r="J8" s="1184"/>
      <c r="K8" s="1184"/>
      <c r="L8" s="368"/>
      <c r="M8" s="369"/>
    </row>
    <row r="9" spans="1:22" ht="18">
      <c r="A9" s="67"/>
      <c r="B9" s="67"/>
      <c r="C9" s="67"/>
      <c r="D9" s="67"/>
      <c r="E9" s="67"/>
      <c r="F9" s="67"/>
      <c r="G9" s="67"/>
      <c r="H9" s="67"/>
      <c r="I9" s="67"/>
      <c r="J9" s="67"/>
      <c r="K9" s="67"/>
      <c r="L9" s="368"/>
      <c r="M9" s="369"/>
    </row>
    <row r="10" spans="1:22" ht="15.75">
      <c r="A10" s="370" t="s">
        <v>459</v>
      </c>
      <c r="B10" s="368"/>
      <c r="C10" s="16"/>
      <c r="D10" s="16"/>
      <c r="E10" s="16"/>
      <c r="F10" s="16"/>
      <c r="G10" s="371"/>
      <c r="H10" s="371"/>
      <c r="I10" s="370" t="s">
        <v>472</v>
      </c>
      <c r="J10" s="370" t="s">
        <v>355</v>
      </c>
      <c r="K10" s="372"/>
      <c r="N10" s="373"/>
      <c r="P10" s="373"/>
      <c r="R10" s="373"/>
      <c r="S10" s="373"/>
      <c r="T10" s="373"/>
      <c r="U10" s="132"/>
      <c r="V10" s="132"/>
    </row>
    <row r="11" spans="1:22" ht="15.75">
      <c r="A11" s="370" t="s">
        <v>397</v>
      </c>
      <c r="B11" s="1185" t="s">
        <v>457</v>
      </c>
      <c r="C11" s="1185"/>
      <c r="D11" s="1185"/>
      <c r="E11" s="1185"/>
      <c r="F11" s="1185"/>
      <c r="G11" s="1185"/>
      <c r="H11" s="1185"/>
      <c r="I11" s="370" t="s">
        <v>473</v>
      </c>
      <c r="J11" s="370" t="s">
        <v>407</v>
      </c>
      <c r="K11" s="370" t="s">
        <v>407</v>
      </c>
      <c r="N11" s="373"/>
      <c r="O11" s="373"/>
      <c r="P11" s="373"/>
      <c r="Q11" s="373"/>
      <c r="R11" s="373"/>
      <c r="S11" s="373"/>
      <c r="T11" s="374"/>
      <c r="U11" s="132"/>
      <c r="V11" s="132"/>
    </row>
    <row r="12" spans="1:22" ht="15.75">
      <c r="A12" s="371"/>
      <c r="B12" s="375"/>
      <c r="C12" s="368"/>
      <c r="D12" s="371"/>
      <c r="E12" s="371"/>
      <c r="F12" s="371"/>
      <c r="G12" s="371"/>
      <c r="H12" s="371"/>
      <c r="I12" s="371"/>
      <c r="J12" s="371"/>
      <c r="K12" s="376"/>
      <c r="N12" s="373"/>
      <c r="O12" s="373"/>
      <c r="P12" s="373"/>
      <c r="Q12" s="373"/>
      <c r="R12" s="373"/>
      <c r="S12" s="373"/>
      <c r="T12" s="374"/>
      <c r="U12" s="132"/>
      <c r="V12" s="132"/>
    </row>
    <row r="13" spans="1:22" s="379" customFormat="1" ht="12.75">
      <c r="A13" s="377">
        <v>1</v>
      </c>
      <c r="B13" s="378" t="s">
        <v>9</v>
      </c>
      <c r="D13" s="380"/>
      <c r="E13" s="380"/>
      <c r="F13" s="381"/>
      <c r="G13" s="380"/>
      <c r="H13" s="380"/>
      <c r="I13" s="393">
        <v>0</v>
      </c>
      <c r="J13" s="382">
        <f>+I13-K13</f>
        <v>0</v>
      </c>
      <c r="K13" s="393">
        <v>0</v>
      </c>
      <c r="N13" s="3"/>
      <c r="O13" s="3"/>
      <c r="P13" s="3"/>
      <c r="Q13" s="3"/>
      <c r="R13" s="3"/>
      <c r="S13" s="3"/>
      <c r="T13" s="47"/>
      <c r="U13" s="3"/>
      <c r="V13" s="3"/>
    </row>
    <row r="14" spans="1:22" s="379" customFormat="1" ht="12.75">
      <c r="A14" s="377"/>
      <c r="B14" s="378"/>
      <c r="D14" s="380"/>
      <c r="E14" s="380"/>
      <c r="F14" s="381"/>
      <c r="G14" s="380"/>
      <c r="H14" s="380"/>
      <c r="I14" s="383"/>
      <c r="J14" s="381"/>
      <c r="K14" s="381"/>
      <c r="N14" s="3"/>
      <c r="O14" s="3"/>
      <c r="P14" s="3"/>
      <c r="Q14" s="3"/>
      <c r="R14" s="3"/>
      <c r="S14" s="3"/>
      <c r="T14" s="47"/>
      <c r="U14" s="3"/>
      <c r="V14" s="3"/>
    </row>
    <row r="15" spans="1:22" s="379" customFormat="1" ht="12.75">
      <c r="A15" s="377">
        <f>+A13+1</f>
        <v>2</v>
      </c>
      <c r="B15" s="378" t="s">
        <v>10</v>
      </c>
      <c r="D15" s="380"/>
      <c r="E15" s="380"/>
      <c r="F15" s="381"/>
      <c r="G15" s="380"/>
      <c r="H15" s="381"/>
      <c r="I15" s="393">
        <v>0</v>
      </c>
      <c r="J15" s="382">
        <f>+I15-K15</f>
        <v>0</v>
      </c>
      <c r="K15" s="393">
        <v>0</v>
      </c>
      <c r="N15" s="3"/>
      <c r="O15" s="3"/>
      <c r="P15" s="3"/>
      <c r="Q15" s="3"/>
      <c r="R15" s="3"/>
      <c r="S15" s="3"/>
      <c r="T15" s="3"/>
      <c r="U15" s="3"/>
      <c r="V15" s="3"/>
    </row>
    <row r="16" spans="1:22" s="379" customFormat="1" ht="12.75">
      <c r="A16" s="377"/>
      <c r="B16" s="378"/>
      <c r="D16" s="380"/>
      <c r="E16" s="380"/>
      <c r="F16" s="381"/>
      <c r="G16" s="380"/>
      <c r="H16" s="381"/>
      <c r="I16" s="381"/>
      <c r="J16" s="381"/>
      <c r="K16" s="384"/>
      <c r="N16" s="3"/>
      <c r="O16" s="3"/>
      <c r="P16" s="3"/>
      <c r="Q16" s="3"/>
      <c r="R16" s="3"/>
      <c r="S16" s="3"/>
      <c r="T16" s="3"/>
      <c r="U16" s="3"/>
      <c r="V16" s="3"/>
    </row>
    <row r="17" spans="1:22" s="379" customFormat="1" ht="12.75">
      <c r="A17" s="377">
        <f>+A15+1</f>
        <v>3</v>
      </c>
      <c r="B17" s="378" t="s">
        <v>11</v>
      </c>
      <c r="D17" s="380"/>
      <c r="E17" s="380"/>
      <c r="F17" s="381"/>
      <c r="G17" s="380"/>
      <c r="H17" s="380"/>
      <c r="I17" s="393">
        <v>7942120.2360000014</v>
      </c>
      <c r="J17" s="382">
        <f>+I17-K17</f>
        <v>0</v>
      </c>
      <c r="K17" s="985">
        <f>I17</f>
        <v>7942120.2360000014</v>
      </c>
      <c r="N17" s="3"/>
      <c r="O17" s="3"/>
      <c r="P17" s="3"/>
      <c r="Q17" s="3"/>
      <c r="R17" s="3"/>
      <c r="S17" s="3"/>
      <c r="T17" s="3"/>
      <c r="U17" s="3"/>
      <c r="V17" s="3"/>
    </row>
    <row r="18" spans="1:22" s="379" customFormat="1" ht="12.75">
      <c r="A18" s="377"/>
      <c r="B18" s="381"/>
      <c r="D18" s="380"/>
      <c r="E18" s="380"/>
      <c r="F18" s="381"/>
      <c r="G18" s="384"/>
      <c r="H18" s="381"/>
      <c r="I18" s="381"/>
      <c r="J18" s="381"/>
      <c r="K18" s="381"/>
      <c r="N18" s="3"/>
      <c r="O18" s="3"/>
      <c r="P18" s="3"/>
      <c r="Q18" s="3"/>
      <c r="R18" s="3"/>
      <c r="S18" s="3"/>
      <c r="T18" s="3"/>
      <c r="U18" s="3"/>
      <c r="V18" s="3"/>
    </row>
    <row r="19" spans="1:22" s="379" customFormat="1" ht="12.75">
      <c r="A19" s="726">
        <v>4</v>
      </c>
      <c r="B19" s="910" t="s">
        <v>759</v>
      </c>
      <c r="C19" s="3"/>
      <c r="D19" s="911"/>
      <c r="E19" s="911"/>
      <c r="F19" s="911"/>
      <c r="G19" s="727"/>
      <c r="H19" s="911"/>
      <c r="I19" s="393">
        <v>0</v>
      </c>
      <c r="J19" s="382">
        <f>+I19-K19</f>
        <v>0</v>
      </c>
      <c r="K19" s="393">
        <v>0</v>
      </c>
      <c r="N19" s="386"/>
      <c r="O19" s="3"/>
      <c r="P19" s="3"/>
      <c r="Q19" s="3"/>
      <c r="R19" s="3"/>
      <c r="S19" s="3"/>
      <c r="T19" s="3"/>
      <c r="U19" s="3"/>
      <c r="V19" s="3"/>
    </row>
    <row r="20" spans="1:22" s="379" customFormat="1" ht="12.75">
      <c r="A20" s="726"/>
      <c r="B20" s="910"/>
      <c r="C20" s="3"/>
      <c r="D20" s="911"/>
      <c r="E20" s="911"/>
      <c r="F20" s="911"/>
      <c r="G20" s="727"/>
      <c r="H20" s="911"/>
      <c r="I20" s="3"/>
      <c r="J20" s="3"/>
      <c r="K20" s="3"/>
      <c r="L20" s="3"/>
      <c r="N20" s="386"/>
      <c r="O20" s="3"/>
      <c r="P20" s="3"/>
      <c r="Q20" s="3"/>
      <c r="R20" s="3"/>
      <c r="S20" s="3"/>
      <c r="T20" s="3"/>
      <c r="U20" s="3"/>
      <c r="V20" s="3"/>
    </row>
    <row r="21" spans="1:22" s="379" customFormat="1" ht="12.75">
      <c r="A21" s="726">
        <v>5</v>
      </c>
      <c r="B21" s="910" t="s">
        <v>760</v>
      </c>
      <c r="C21" s="3"/>
      <c r="D21" s="911"/>
      <c r="E21" s="911"/>
      <c r="F21" s="911"/>
      <c r="G21" s="727"/>
      <c r="H21" s="911"/>
      <c r="I21" s="393">
        <v>1057074187.5790511</v>
      </c>
      <c r="J21" s="382">
        <f>+I21-K21</f>
        <v>1057000958.5790511</v>
      </c>
      <c r="K21" s="393">
        <v>73229</v>
      </c>
      <c r="N21" s="386"/>
      <c r="O21" s="3"/>
      <c r="P21" s="3"/>
      <c r="Q21" s="3"/>
      <c r="R21" s="3"/>
      <c r="S21" s="3"/>
      <c r="T21" s="3"/>
      <c r="U21" s="3"/>
      <c r="V21" s="3"/>
    </row>
    <row r="22" spans="1:22" s="379" customFormat="1" ht="12.75">
      <c r="A22" s="726"/>
      <c r="B22" s="910"/>
      <c r="C22" s="3"/>
      <c r="D22" s="911"/>
      <c r="E22" s="911"/>
      <c r="F22" s="911"/>
      <c r="G22" s="727"/>
      <c r="H22" s="911"/>
      <c r="I22" s="393"/>
      <c r="J22" s="382"/>
      <c r="K22" s="393"/>
      <c r="N22" s="386"/>
      <c r="O22" s="3"/>
      <c r="P22" s="3"/>
      <c r="Q22" s="3"/>
      <c r="R22" s="3"/>
      <c r="S22" s="3"/>
      <c r="T22" s="3"/>
      <c r="U22" s="3"/>
      <c r="V22" s="3"/>
    </row>
    <row r="23" spans="1:22" s="379" customFormat="1" ht="12.75">
      <c r="A23" s="726" t="s">
        <v>619</v>
      </c>
      <c r="B23" s="910" t="s">
        <v>620</v>
      </c>
      <c r="C23" s="3"/>
      <c r="D23" s="911"/>
      <c r="E23" s="911"/>
      <c r="F23" s="911"/>
      <c r="G23" s="727"/>
      <c r="H23" s="911"/>
      <c r="I23" s="728"/>
      <c r="J23" s="729">
        <v>0</v>
      </c>
      <c r="K23" s="728"/>
      <c r="N23" s="386"/>
      <c r="O23" s="3"/>
      <c r="P23" s="3"/>
      <c r="Q23" s="3"/>
      <c r="R23" s="3"/>
      <c r="S23" s="3"/>
      <c r="T23" s="3"/>
      <c r="U23" s="3"/>
      <c r="V23" s="3"/>
    </row>
    <row r="24" spans="1:22" s="379" customFormat="1" ht="12.75">
      <c r="A24" s="726"/>
      <c r="B24" s="910"/>
      <c r="C24" s="3"/>
      <c r="D24" s="911"/>
      <c r="E24" s="911"/>
      <c r="F24" s="911"/>
      <c r="G24" s="727"/>
      <c r="H24" s="911"/>
      <c r="I24" s="728"/>
      <c r="J24" s="729"/>
      <c r="K24" s="728"/>
      <c r="N24" s="386"/>
      <c r="O24" s="3"/>
      <c r="P24" s="3"/>
      <c r="Q24" s="3"/>
      <c r="R24" s="3"/>
      <c r="S24" s="3"/>
      <c r="T24" s="3"/>
      <c r="U24" s="3"/>
      <c r="V24" s="3"/>
    </row>
    <row r="25" spans="1:22" s="379" customFormat="1" ht="12.75">
      <c r="A25" s="726" t="s">
        <v>621</v>
      </c>
      <c r="B25" s="910" t="s">
        <v>622</v>
      </c>
      <c r="C25" s="3"/>
      <c r="D25" s="911"/>
      <c r="E25" s="911"/>
      <c r="F25" s="911"/>
      <c r="G25" s="727"/>
      <c r="H25" s="911"/>
      <c r="I25" s="728"/>
      <c r="J25" s="729">
        <v>0</v>
      </c>
      <c r="K25" s="728"/>
      <c r="N25" s="386"/>
      <c r="O25" s="3"/>
      <c r="P25" s="3"/>
      <c r="Q25" s="3"/>
      <c r="R25" s="3"/>
      <c r="S25" s="3"/>
      <c r="T25" s="3"/>
      <c r="U25" s="3"/>
      <c r="V25" s="3"/>
    </row>
    <row r="26" spans="1:22" s="379" customFormat="1" ht="12.75">
      <c r="A26" s="377"/>
      <c r="B26" s="385"/>
      <c r="D26" s="380"/>
      <c r="E26" s="380"/>
      <c r="F26" s="381"/>
      <c r="G26" s="384"/>
      <c r="H26" s="381"/>
      <c r="I26" s="3"/>
      <c r="J26" s="3"/>
      <c r="K26" s="3"/>
      <c r="N26" s="3"/>
      <c r="O26" s="3"/>
      <c r="P26" s="3"/>
      <c r="Q26" s="3"/>
      <c r="R26" s="3"/>
      <c r="S26" s="3"/>
      <c r="T26" s="3"/>
      <c r="U26" s="3"/>
      <c r="V26" s="3"/>
    </row>
    <row r="27" spans="1:22" s="379" customFormat="1" ht="12.75">
      <c r="A27" s="377">
        <f>+A21+1</f>
        <v>6</v>
      </c>
      <c r="B27" s="385" t="s">
        <v>327</v>
      </c>
      <c r="D27" s="380"/>
      <c r="E27" s="380"/>
      <c r="F27" s="381"/>
      <c r="G27" s="384"/>
      <c r="H27" s="381"/>
      <c r="I27" s="387">
        <f>+I21+I19+I17+I15+I13+I23+I25</f>
        <v>1065016307.8150511</v>
      </c>
      <c r="J27" s="387">
        <f>+J21+J19+J17+J15+J13+J23+J25</f>
        <v>1057000958.5790511</v>
      </c>
      <c r="K27" s="387">
        <f>+K21+K19+K17+K15+K13+K23+K25</f>
        <v>8015349.2360000014</v>
      </c>
      <c r="N27" s="3"/>
      <c r="O27" s="3"/>
      <c r="P27" s="3"/>
      <c r="Q27" s="3"/>
      <c r="R27" s="3"/>
      <c r="S27" s="3"/>
      <c r="T27" s="3"/>
      <c r="U27" s="3"/>
      <c r="V27" s="3"/>
    </row>
    <row r="28" spans="1:22" s="379" customFormat="1" ht="12.75">
      <c r="A28" s="377"/>
      <c r="B28" s="385"/>
      <c r="D28" s="380"/>
      <c r="E28" s="380"/>
      <c r="F28" s="381"/>
      <c r="G28" s="384"/>
      <c r="H28" s="381"/>
      <c r="I28" s="3"/>
      <c r="J28" s="3"/>
      <c r="K28" s="3"/>
      <c r="N28" s="3"/>
      <c r="O28" s="3"/>
      <c r="P28" s="3"/>
      <c r="Q28" s="3"/>
      <c r="R28" s="3"/>
      <c r="S28" s="3"/>
      <c r="T28" s="3"/>
      <c r="U28" s="3"/>
      <c r="V28" s="3"/>
    </row>
    <row r="29" spans="1:22" s="379" customFormat="1" ht="12.75">
      <c r="A29" s="377">
        <f>+A27+1</f>
        <v>7</v>
      </c>
      <c r="B29" s="1183" t="s">
        <v>12</v>
      </c>
      <c r="C29" s="1124"/>
      <c r="D29" s="1124"/>
      <c r="E29" s="1124"/>
      <c r="F29" s="1124"/>
      <c r="G29" s="1124"/>
      <c r="H29" s="381"/>
      <c r="I29" s="393"/>
      <c r="J29" s="382">
        <f>+I29-K29</f>
        <v>0</v>
      </c>
      <c r="K29" s="393"/>
      <c r="N29" s="3"/>
      <c r="O29" s="3"/>
      <c r="P29" s="3"/>
      <c r="Q29" s="3"/>
      <c r="R29" s="3"/>
      <c r="S29" s="3"/>
      <c r="T29" s="3"/>
      <c r="U29" s="3"/>
      <c r="V29" s="3"/>
    </row>
    <row r="30" spans="1:22" s="379" customFormat="1" ht="12.75">
      <c r="A30" s="377"/>
      <c r="B30" s="1124"/>
      <c r="C30" s="1124"/>
      <c r="D30" s="1124"/>
      <c r="E30" s="1124"/>
      <c r="F30" s="1124"/>
      <c r="G30" s="1124"/>
      <c r="H30" s="381"/>
      <c r="I30" s="382"/>
      <c r="J30" s="381"/>
      <c r="K30" s="382"/>
      <c r="N30" s="3"/>
      <c r="O30" s="3"/>
      <c r="P30" s="3"/>
      <c r="Q30" s="3"/>
      <c r="R30" s="3"/>
      <c r="S30" s="3"/>
      <c r="T30" s="3"/>
      <c r="U30" s="3"/>
      <c r="V30" s="3"/>
    </row>
    <row r="31" spans="1:22" s="379" customFormat="1" ht="12.75">
      <c r="A31" s="377">
        <f>+A29+1</f>
        <v>8</v>
      </c>
      <c r="B31" s="385" t="s">
        <v>497</v>
      </c>
      <c r="D31" s="380"/>
      <c r="E31" s="380"/>
      <c r="F31" s="381"/>
      <c r="G31" s="384"/>
      <c r="H31" s="381"/>
      <c r="I31" s="388">
        <f>+I27+I29</f>
        <v>1065016307.8150511</v>
      </c>
      <c r="J31" s="388">
        <f>+J27+J29</f>
        <v>1057000958.5790511</v>
      </c>
      <c r="K31" s="388">
        <f>+K27+K29</f>
        <v>8015349.2360000014</v>
      </c>
      <c r="N31" s="3"/>
      <c r="O31" s="3"/>
      <c r="P31" s="3"/>
      <c r="Q31" s="3"/>
      <c r="R31" s="3"/>
      <c r="S31" s="3"/>
      <c r="T31" s="3"/>
      <c r="U31" s="3"/>
      <c r="V31" s="3"/>
    </row>
    <row r="32" spans="1:22" s="379" customFormat="1" ht="12.75">
      <c r="A32" s="377"/>
      <c r="B32" s="385"/>
      <c r="D32" s="380"/>
      <c r="E32" s="380"/>
      <c r="F32" s="381"/>
      <c r="G32" s="384"/>
      <c r="H32" s="381"/>
      <c r="I32" s="382"/>
      <c r="J32" s="382"/>
      <c r="K32" s="382"/>
      <c r="N32" s="3"/>
      <c r="O32" s="3"/>
      <c r="P32" s="3"/>
      <c r="Q32" s="3"/>
      <c r="R32" s="3"/>
      <c r="S32" s="3"/>
      <c r="T32" s="3"/>
      <c r="U32" s="3"/>
      <c r="V32" s="3"/>
    </row>
    <row r="33" spans="1:22" s="379" customFormat="1" ht="12.75">
      <c r="A33" s="377">
        <v>9</v>
      </c>
      <c r="B33" s="378" t="s">
        <v>547</v>
      </c>
      <c r="D33" s="380"/>
      <c r="E33" s="380"/>
      <c r="F33" s="381"/>
      <c r="G33" s="384"/>
      <c r="H33" s="381"/>
      <c r="I33" s="382"/>
      <c r="J33" s="382"/>
      <c r="K33" s="393">
        <v>7711417</v>
      </c>
      <c r="N33" s="3"/>
      <c r="O33" s="3"/>
      <c r="P33" s="3"/>
      <c r="Q33" s="3"/>
      <c r="R33" s="3"/>
      <c r="S33" s="3"/>
      <c r="T33" s="3"/>
      <c r="U33" s="3"/>
      <c r="V33" s="3"/>
    </row>
    <row r="34" spans="1:22" s="379" customFormat="1" ht="12.75">
      <c r="A34" s="377"/>
      <c r="B34" s="385"/>
      <c r="D34" s="380"/>
      <c r="E34" s="380"/>
      <c r="F34" s="381"/>
      <c r="G34" s="384"/>
      <c r="H34" s="381"/>
      <c r="I34" s="382"/>
      <c r="J34" s="382"/>
      <c r="K34" s="382"/>
      <c r="N34" s="3"/>
      <c r="O34" s="3"/>
      <c r="P34" s="3"/>
      <c r="Q34" s="3"/>
      <c r="R34" s="3"/>
      <c r="S34" s="3"/>
      <c r="T34" s="3"/>
      <c r="U34" s="3"/>
      <c r="V34" s="3"/>
    </row>
    <row r="35" spans="1:22" ht="15.75">
      <c r="A35" s="389"/>
      <c r="C35" s="375"/>
      <c r="D35" s="368"/>
      <c r="E35" s="368"/>
      <c r="F35" s="371"/>
      <c r="G35" s="390"/>
      <c r="H35" s="371"/>
      <c r="I35" s="391"/>
      <c r="J35" s="371"/>
      <c r="K35" s="371"/>
      <c r="L35" s="371"/>
      <c r="M35" s="391"/>
      <c r="N35" s="132"/>
      <c r="O35" s="16"/>
      <c r="P35" s="16"/>
      <c r="Q35" s="16"/>
      <c r="R35" s="16"/>
      <c r="S35" s="132"/>
      <c r="T35" s="132"/>
      <c r="U35" s="132"/>
      <c r="V35" s="132"/>
    </row>
    <row r="36" spans="1:22" s="379" customFormat="1" ht="12.75" customHeight="1">
      <c r="A36" s="41" t="s">
        <v>287</v>
      </c>
      <c r="B36" s="1182"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AEP Ohio Transmission Company's general ledger. The functional amounts identified as transmission revenue also come from the general ledger. </v>
      </c>
      <c r="C36" s="1182"/>
      <c r="D36" s="1182"/>
      <c r="E36" s="1182"/>
      <c r="F36" s="1182"/>
      <c r="G36" s="1182"/>
      <c r="H36" s="1182"/>
      <c r="I36" s="1182"/>
      <c r="J36" s="1182"/>
      <c r="K36" s="3"/>
      <c r="L36" s="3"/>
      <c r="M36" s="3"/>
      <c r="N36" s="3"/>
      <c r="O36" s="3"/>
      <c r="P36" s="3"/>
      <c r="Q36" s="3"/>
      <c r="R36" s="3"/>
      <c r="S36" s="3"/>
      <c r="T36" s="47"/>
      <c r="U36" s="3"/>
      <c r="V36" s="3"/>
    </row>
    <row r="37" spans="1:22" s="379" customFormat="1" ht="12.75">
      <c r="A37" s="3"/>
      <c r="B37" s="1182"/>
      <c r="C37" s="1182"/>
      <c r="D37" s="1182"/>
      <c r="E37" s="1182"/>
      <c r="F37" s="1182"/>
      <c r="G37" s="1182"/>
      <c r="H37" s="1182"/>
      <c r="I37" s="1182"/>
      <c r="J37" s="1182"/>
      <c r="K37" s="3"/>
      <c r="L37" s="3"/>
      <c r="M37" s="70"/>
      <c r="N37" s="70"/>
      <c r="O37" s="70"/>
      <c r="P37" s="70"/>
      <c r="Q37" s="70"/>
      <c r="R37" s="3"/>
      <c r="S37" s="3"/>
      <c r="T37" s="3"/>
      <c r="U37" s="3"/>
      <c r="V37" s="3"/>
    </row>
    <row r="38" spans="1:22" s="379" customFormat="1" ht="12.75">
      <c r="A38" s="3" t="s">
        <v>623</v>
      </c>
      <c r="B38" s="912" t="s">
        <v>624</v>
      </c>
      <c r="C38" s="725"/>
      <c r="D38" s="725"/>
      <c r="E38" s="725"/>
      <c r="F38" s="725"/>
      <c r="G38" s="725"/>
      <c r="H38" s="725"/>
      <c r="I38" s="725"/>
      <c r="J38" s="725"/>
      <c r="K38" s="70"/>
      <c r="L38" s="3"/>
      <c r="M38" s="70"/>
      <c r="N38" s="70"/>
      <c r="O38" s="70"/>
      <c r="P38" s="70"/>
      <c r="Q38" s="70"/>
      <c r="R38" s="3"/>
      <c r="S38" s="3"/>
      <c r="T38" s="3"/>
      <c r="U38" s="3"/>
      <c r="V38" s="3"/>
    </row>
    <row r="39" spans="1:22" ht="15.75">
      <c r="A39" s="132"/>
      <c r="B39" s="132"/>
      <c r="E39" s="392"/>
      <c r="F39" s="392"/>
      <c r="G39" s="392"/>
      <c r="H39" s="392"/>
      <c r="I39" s="392"/>
      <c r="J39" s="392"/>
      <c r="K39" s="392"/>
      <c r="L39" s="132"/>
      <c r="M39" s="392"/>
      <c r="N39" s="392"/>
      <c r="O39" s="392"/>
      <c r="P39" s="392"/>
      <c r="Q39" s="392"/>
      <c r="R39" s="132"/>
      <c r="S39" s="132"/>
      <c r="T39" s="132"/>
      <c r="U39" s="132"/>
      <c r="V39" s="132"/>
    </row>
    <row r="40" spans="1:22" ht="15.75">
      <c r="A40" s="132"/>
      <c r="B40" s="132"/>
      <c r="E40" s="392"/>
      <c r="F40" s="392"/>
      <c r="G40" s="392"/>
      <c r="H40" s="392"/>
      <c r="I40" s="392"/>
      <c r="J40" s="392"/>
      <c r="K40" s="392"/>
      <c r="L40" s="132"/>
      <c r="M40" s="392"/>
      <c r="N40" s="392"/>
      <c r="O40" s="392"/>
      <c r="P40" s="392"/>
      <c r="Q40" s="392"/>
      <c r="R40" s="132"/>
      <c r="S40" s="132"/>
      <c r="T40" s="132"/>
      <c r="U40" s="132"/>
      <c r="V40" s="132"/>
    </row>
    <row r="41" spans="1:22" ht="15.75">
      <c r="A41" s="132"/>
      <c r="B41" s="132"/>
      <c r="E41" s="392"/>
      <c r="F41" s="392"/>
      <c r="G41" s="392"/>
      <c r="H41" s="392"/>
      <c r="I41" s="392"/>
      <c r="J41" s="392"/>
      <c r="K41" s="392"/>
      <c r="L41" s="132"/>
      <c r="M41" s="392"/>
      <c r="N41" s="392"/>
      <c r="O41" s="392"/>
      <c r="P41" s="392"/>
      <c r="Q41" s="392"/>
      <c r="R41" s="132"/>
      <c r="S41" s="132"/>
      <c r="T41" s="132"/>
      <c r="U41" s="132"/>
      <c r="V41" s="132"/>
    </row>
    <row r="42" spans="1:22" ht="15.75">
      <c r="A42" s="132"/>
      <c r="B42" s="132"/>
      <c r="E42" s="392"/>
      <c r="F42" s="392"/>
      <c r="G42" s="392"/>
      <c r="H42" s="392"/>
      <c r="I42" s="392"/>
      <c r="J42" s="392"/>
      <c r="K42" s="392"/>
      <c r="L42" s="132"/>
      <c r="M42" s="392"/>
      <c r="N42" s="392"/>
      <c r="O42" s="392"/>
      <c r="P42" s="392"/>
      <c r="Q42" s="392"/>
      <c r="R42" s="132"/>
      <c r="S42" s="132"/>
      <c r="T42" s="132"/>
      <c r="U42" s="132"/>
      <c r="V42" s="132"/>
    </row>
    <row r="43" spans="1:22" ht="15.75">
      <c r="A43" s="132"/>
      <c r="B43" s="132"/>
      <c r="E43" s="392"/>
      <c r="F43" s="392"/>
      <c r="G43" s="392"/>
      <c r="H43" s="392"/>
      <c r="I43" s="392"/>
      <c r="J43" s="392"/>
      <c r="K43" s="392"/>
      <c r="L43" s="132"/>
      <c r="M43" s="392"/>
      <c r="N43" s="392"/>
      <c r="O43" s="392"/>
      <c r="P43" s="392"/>
      <c r="Q43" s="392"/>
      <c r="R43" s="132"/>
      <c r="S43" s="132"/>
      <c r="T43" s="132"/>
      <c r="U43" s="132"/>
      <c r="V43" s="132"/>
    </row>
    <row r="44" spans="1:22" ht="15.75">
      <c r="A44" s="132"/>
      <c r="B44" s="132"/>
      <c r="E44" s="392"/>
      <c r="F44" s="392"/>
      <c r="G44" s="392"/>
      <c r="H44" s="392"/>
      <c r="I44" s="392"/>
      <c r="J44" s="392"/>
      <c r="K44" s="392"/>
      <c r="L44" s="132"/>
      <c r="M44" s="392"/>
      <c r="N44" s="392"/>
      <c r="O44" s="392"/>
      <c r="P44" s="392"/>
      <c r="Q44" s="392"/>
      <c r="R44" s="132"/>
      <c r="S44" s="132"/>
      <c r="T44" s="132"/>
      <c r="U44" s="132"/>
      <c r="V44" s="132"/>
    </row>
    <row r="45" spans="1:22" ht="15.75">
      <c r="A45" s="132"/>
      <c r="B45" s="132"/>
      <c r="E45" s="392"/>
      <c r="F45" s="392"/>
      <c r="G45" s="392"/>
      <c r="H45" s="392"/>
      <c r="I45" s="392"/>
      <c r="J45" s="392"/>
      <c r="K45" s="392"/>
      <c r="L45" s="132"/>
      <c r="M45" s="392"/>
      <c r="N45" s="392"/>
      <c r="O45" s="392"/>
      <c r="P45" s="392"/>
      <c r="Q45" s="392"/>
      <c r="R45" s="132"/>
      <c r="S45" s="132"/>
      <c r="T45" s="132"/>
      <c r="U45" s="132"/>
      <c r="V45" s="132"/>
    </row>
    <row r="46" spans="1:22" ht="15.75">
      <c r="A46" s="132"/>
      <c r="B46" s="132"/>
      <c r="E46" s="392"/>
      <c r="F46" s="392"/>
      <c r="G46" s="392"/>
      <c r="H46" s="392"/>
      <c r="I46" s="392"/>
      <c r="J46" s="392"/>
      <c r="K46" s="392"/>
      <c r="L46" s="132"/>
      <c r="M46" s="392"/>
      <c r="N46" s="392"/>
      <c r="O46" s="392"/>
      <c r="P46" s="392"/>
      <c r="Q46" s="392"/>
      <c r="R46" s="132"/>
      <c r="S46" s="132"/>
      <c r="T46" s="132"/>
      <c r="U46" s="132"/>
      <c r="V46" s="132"/>
    </row>
    <row r="47" spans="1:22" ht="15.75">
      <c r="A47" s="132"/>
      <c r="B47" s="132"/>
      <c r="E47" s="392"/>
      <c r="F47" s="392"/>
      <c r="G47" s="392"/>
      <c r="H47" s="392"/>
      <c r="I47" s="392"/>
      <c r="J47" s="392"/>
      <c r="K47" s="392"/>
      <c r="L47" s="132"/>
      <c r="M47" s="392"/>
      <c r="N47" s="392"/>
      <c r="O47" s="392"/>
      <c r="P47" s="392"/>
      <c r="Q47" s="392"/>
      <c r="R47" s="132"/>
      <c r="S47" s="132"/>
      <c r="T47" s="132"/>
      <c r="U47" s="132"/>
      <c r="V47" s="132"/>
    </row>
    <row r="48" spans="1:22" ht="15.75">
      <c r="A48" s="132"/>
      <c r="B48" s="132"/>
      <c r="E48" s="392"/>
      <c r="F48" s="392"/>
      <c r="G48" s="392"/>
      <c r="H48" s="392"/>
      <c r="I48" s="392"/>
      <c r="J48" s="392"/>
      <c r="K48" s="392"/>
      <c r="L48" s="132"/>
      <c r="M48" s="392"/>
      <c r="N48" s="392"/>
      <c r="O48" s="392"/>
      <c r="P48" s="392"/>
      <c r="Q48" s="392"/>
      <c r="R48" s="132"/>
      <c r="S48" s="132"/>
      <c r="T48" s="132"/>
      <c r="U48" s="132"/>
      <c r="V48" s="132"/>
    </row>
    <row r="49" spans="1:22" ht="15.75">
      <c r="I49" s="392"/>
      <c r="J49" s="392"/>
      <c r="K49" s="392"/>
      <c r="L49" s="132"/>
      <c r="M49" s="392"/>
      <c r="N49" s="392"/>
      <c r="O49" s="392"/>
      <c r="P49" s="392"/>
      <c r="Q49" s="392"/>
      <c r="R49" s="132"/>
      <c r="S49" s="132"/>
      <c r="T49" s="132"/>
      <c r="U49" s="132"/>
      <c r="V49" s="132"/>
    </row>
    <row r="50" spans="1:22" ht="15.75">
      <c r="A50" s="132"/>
      <c r="B50" s="132"/>
      <c r="E50" s="392"/>
      <c r="F50" s="392"/>
      <c r="G50" s="392"/>
      <c r="H50" s="392"/>
      <c r="I50" s="392"/>
      <c r="J50" s="392"/>
      <c r="K50" s="392"/>
      <c r="L50" s="132"/>
      <c r="M50" s="392"/>
      <c r="N50" s="392"/>
      <c r="O50" s="392"/>
      <c r="P50" s="392"/>
      <c r="Q50" s="392"/>
      <c r="R50" s="132"/>
      <c r="S50" s="132"/>
      <c r="T50" s="132"/>
      <c r="U50" s="132"/>
      <c r="V50" s="132"/>
    </row>
    <row r="51" spans="1:22" ht="15.75">
      <c r="A51" s="132"/>
      <c r="B51" s="132"/>
      <c r="E51" s="392"/>
      <c r="F51" s="392"/>
      <c r="G51" s="392"/>
      <c r="H51" s="392"/>
      <c r="I51" s="392"/>
      <c r="J51" s="392"/>
      <c r="K51" s="392"/>
      <c r="L51" s="132"/>
      <c r="M51" s="392"/>
      <c r="N51" s="392"/>
      <c r="O51" s="392"/>
      <c r="P51" s="392"/>
      <c r="Q51" s="392"/>
      <c r="R51" s="132"/>
      <c r="S51" s="132"/>
      <c r="T51" s="132"/>
      <c r="U51" s="132"/>
      <c r="V51" s="132"/>
    </row>
    <row r="52" spans="1:22" ht="15.75">
      <c r="A52" s="132"/>
      <c r="B52" s="132"/>
      <c r="E52" s="392"/>
      <c r="F52" s="392"/>
      <c r="G52" s="392"/>
      <c r="H52" s="392"/>
      <c r="I52" s="392"/>
      <c r="J52" s="392"/>
      <c r="K52" s="392"/>
      <c r="L52" s="132"/>
      <c r="M52" s="392"/>
      <c r="N52" s="392"/>
      <c r="O52" s="392"/>
      <c r="P52" s="392"/>
      <c r="Q52" s="392"/>
      <c r="R52" s="132"/>
      <c r="S52" s="132"/>
      <c r="T52" s="132"/>
      <c r="U52" s="132"/>
      <c r="V52" s="132"/>
    </row>
    <row r="53" spans="1:22" ht="15.75">
      <c r="A53" s="132"/>
      <c r="B53" s="132"/>
      <c r="E53" s="392"/>
      <c r="F53" s="392"/>
      <c r="G53" s="392"/>
      <c r="H53" s="392"/>
      <c r="I53" s="392"/>
      <c r="J53" s="392"/>
      <c r="K53" s="392"/>
      <c r="L53" s="132"/>
      <c r="M53" s="392"/>
      <c r="N53" s="392"/>
      <c r="O53" s="392"/>
      <c r="P53" s="392"/>
      <c r="Q53" s="392"/>
      <c r="R53" s="132"/>
      <c r="S53" s="132"/>
      <c r="T53" s="132"/>
      <c r="U53" s="132"/>
      <c r="V53" s="132"/>
    </row>
    <row r="54" spans="1:22" ht="15.75">
      <c r="A54" s="132"/>
      <c r="B54" s="132"/>
      <c r="E54" s="392"/>
      <c r="F54" s="392"/>
      <c r="G54" s="392"/>
      <c r="H54" s="392"/>
      <c r="I54" s="392"/>
      <c r="J54" s="392"/>
      <c r="K54" s="392"/>
      <c r="L54" s="132"/>
      <c r="M54" s="392"/>
      <c r="N54" s="392"/>
      <c r="O54" s="392"/>
      <c r="P54" s="392"/>
      <c r="Q54" s="392"/>
      <c r="R54" s="132"/>
      <c r="S54" s="132"/>
      <c r="T54" s="132"/>
      <c r="U54" s="132"/>
      <c r="V54" s="132"/>
    </row>
    <row r="55" spans="1:22" ht="15.75">
      <c r="A55" s="132"/>
      <c r="B55" s="132"/>
      <c r="E55" s="392"/>
      <c r="F55" s="392"/>
      <c r="G55" s="392"/>
      <c r="H55" s="392"/>
      <c r="I55" s="392"/>
      <c r="J55" s="392"/>
      <c r="K55" s="392"/>
      <c r="L55" s="132"/>
      <c r="M55" s="392"/>
      <c r="N55" s="392"/>
      <c r="O55" s="392"/>
      <c r="P55" s="392"/>
      <c r="Q55" s="392"/>
      <c r="R55" s="132"/>
      <c r="S55" s="132"/>
      <c r="T55" s="132"/>
      <c r="U55" s="132"/>
      <c r="V55" s="132"/>
    </row>
    <row r="56" spans="1:22" ht="15.75">
      <c r="A56" s="132"/>
      <c r="B56" s="132"/>
      <c r="E56" s="392"/>
      <c r="F56" s="392"/>
      <c r="G56" s="392"/>
      <c r="H56" s="392"/>
      <c r="I56" s="392"/>
      <c r="J56" s="392"/>
      <c r="K56" s="392"/>
      <c r="L56" s="132"/>
      <c r="M56" s="392"/>
      <c r="N56" s="392"/>
      <c r="O56" s="392"/>
      <c r="P56" s="392"/>
      <c r="Q56" s="392"/>
      <c r="R56" s="132"/>
      <c r="S56" s="132"/>
      <c r="T56" s="132"/>
      <c r="U56" s="132"/>
      <c r="V56" s="132"/>
    </row>
    <row r="57" spans="1:22" ht="15.75">
      <c r="A57" s="132"/>
      <c r="B57" s="132"/>
      <c r="E57" s="392"/>
      <c r="F57" s="392"/>
      <c r="G57" s="392"/>
      <c r="H57" s="392"/>
      <c r="I57" s="392"/>
      <c r="J57" s="392"/>
      <c r="K57" s="392"/>
      <c r="L57" s="132"/>
      <c r="M57" s="392"/>
      <c r="N57" s="392"/>
      <c r="O57" s="392"/>
      <c r="P57" s="392"/>
      <c r="Q57" s="392"/>
      <c r="R57" s="132"/>
      <c r="S57" s="132"/>
      <c r="T57" s="132"/>
      <c r="U57" s="132"/>
      <c r="V57" s="132"/>
    </row>
    <row r="58" spans="1:22" ht="15.75">
      <c r="A58" s="132"/>
      <c r="B58" s="132"/>
      <c r="E58" s="392"/>
      <c r="F58" s="392"/>
      <c r="G58" s="392"/>
      <c r="H58" s="392"/>
      <c r="I58" s="392"/>
      <c r="J58" s="392"/>
      <c r="K58" s="392"/>
      <c r="L58" s="132"/>
      <c r="M58" s="392"/>
      <c r="N58" s="392"/>
      <c r="O58" s="392"/>
      <c r="P58" s="392"/>
      <c r="Q58" s="392"/>
      <c r="R58" s="132"/>
      <c r="S58" s="132"/>
      <c r="T58" s="132"/>
      <c r="U58" s="132"/>
      <c r="V58" s="132"/>
    </row>
    <row r="59" spans="1:22" ht="15.75">
      <c r="A59" s="132"/>
      <c r="B59" s="132"/>
      <c r="E59" s="392"/>
      <c r="F59" s="392"/>
      <c r="G59" s="392"/>
      <c r="H59" s="392"/>
      <c r="I59" s="392"/>
      <c r="J59" s="392"/>
      <c r="K59" s="392"/>
      <c r="L59" s="132"/>
      <c r="M59" s="392"/>
      <c r="N59" s="392"/>
      <c r="O59" s="392"/>
      <c r="P59" s="392"/>
      <c r="Q59" s="392"/>
      <c r="R59" s="132"/>
      <c r="S59" s="132"/>
      <c r="T59" s="132"/>
      <c r="U59" s="132"/>
      <c r="V59" s="132"/>
    </row>
    <row r="60" spans="1:22" ht="15.75">
      <c r="A60" s="132"/>
      <c r="B60" s="132"/>
      <c r="E60" s="392"/>
      <c r="F60" s="392"/>
      <c r="G60" s="392"/>
      <c r="H60" s="392"/>
      <c r="I60" s="392"/>
      <c r="J60" s="392"/>
      <c r="K60" s="392"/>
      <c r="L60" s="132"/>
      <c r="M60" s="392"/>
      <c r="N60" s="392"/>
      <c r="O60" s="392"/>
      <c r="P60" s="392"/>
      <c r="Q60" s="392"/>
      <c r="R60" s="132"/>
      <c r="S60" s="132"/>
      <c r="T60" s="132"/>
      <c r="U60" s="132"/>
      <c r="V60" s="132"/>
    </row>
    <row r="61" spans="1:22" ht="15.75">
      <c r="A61" s="132"/>
      <c r="B61" s="132"/>
      <c r="E61" s="392"/>
      <c r="F61" s="392"/>
      <c r="G61" s="392"/>
      <c r="H61" s="392"/>
      <c r="I61" s="392"/>
      <c r="J61" s="392"/>
      <c r="K61" s="392"/>
      <c r="L61" s="132"/>
      <c r="M61" s="392"/>
      <c r="N61" s="392"/>
      <c r="O61" s="392"/>
      <c r="P61" s="392"/>
      <c r="Q61" s="392"/>
      <c r="R61" s="132"/>
      <c r="S61" s="132"/>
      <c r="T61" s="132"/>
      <c r="U61" s="132"/>
      <c r="V61" s="132"/>
    </row>
    <row r="62" spans="1:22" ht="15.75">
      <c r="A62" s="132"/>
      <c r="B62" s="132"/>
      <c r="E62" s="392"/>
      <c r="F62" s="392"/>
      <c r="G62" s="392"/>
      <c r="H62" s="392"/>
      <c r="I62" s="392"/>
      <c r="J62" s="392"/>
      <c r="K62" s="392"/>
      <c r="L62" s="132"/>
      <c r="M62" s="392"/>
      <c r="N62" s="392"/>
      <c r="O62" s="392"/>
      <c r="P62" s="392"/>
      <c r="Q62" s="392"/>
      <c r="R62" s="132"/>
      <c r="S62" s="132"/>
      <c r="T62" s="132"/>
      <c r="U62" s="132"/>
      <c r="V62" s="132"/>
    </row>
    <row r="63" spans="1:22" ht="15.75">
      <c r="A63" s="132"/>
      <c r="B63" s="132"/>
      <c r="E63" s="392"/>
      <c r="F63" s="392"/>
      <c r="G63" s="392"/>
      <c r="H63" s="392"/>
      <c r="I63" s="392"/>
      <c r="J63" s="392"/>
      <c r="K63" s="392"/>
      <c r="L63" s="132"/>
      <c r="M63" s="392"/>
      <c r="N63" s="392"/>
      <c r="O63" s="392"/>
      <c r="P63" s="392"/>
      <c r="Q63" s="392"/>
      <c r="R63" s="132"/>
      <c r="S63" s="132"/>
      <c r="T63" s="132"/>
      <c r="U63" s="132"/>
      <c r="V63" s="132"/>
    </row>
    <row r="64" spans="1:22" ht="15.75">
      <c r="A64" s="132"/>
      <c r="B64" s="132"/>
      <c r="E64" s="392"/>
      <c r="F64" s="392"/>
      <c r="G64" s="392"/>
      <c r="H64" s="392"/>
      <c r="I64" s="392"/>
      <c r="J64" s="392"/>
      <c r="K64" s="392"/>
      <c r="L64" s="132"/>
      <c r="M64" s="392"/>
      <c r="N64" s="392"/>
      <c r="O64" s="392"/>
      <c r="P64" s="392"/>
      <c r="Q64" s="392"/>
      <c r="R64" s="132"/>
      <c r="S64" s="132"/>
      <c r="T64" s="132"/>
      <c r="U64" s="132"/>
      <c r="V64" s="132"/>
    </row>
    <row r="65" spans="1:22" ht="15.75">
      <c r="A65" s="132"/>
      <c r="B65" s="132"/>
      <c r="E65" s="392"/>
      <c r="F65" s="392"/>
      <c r="G65" s="392"/>
      <c r="H65" s="392"/>
      <c r="I65" s="392"/>
      <c r="J65" s="392"/>
      <c r="K65" s="392"/>
      <c r="L65" s="132"/>
      <c r="M65" s="392"/>
      <c r="N65" s="392"/>
      <c r="O65" s="392"/>
      <c r="P65" s="392"/>
      <c r="Q65" s="392"/>
      <c r="R65" s="132"/>
      <c r="S65" s="132"/>
      <c r="T65" s="132"/>
      <c r="U65" s="132"/>
      <c r="V65" s="132"/>
    </row>
    <row r="66" spans="1:22" ht="15.75">
      <c r="A66" s="132"/>
      <c r="B66" s="132"/>
      <c r="E66" s="392"/>
      <c r="F66" s="392"/>
      <c r="G66" s="392"/>
      <c r="H66" s="392"/>
      <c r="I66" s="392"/>
      <c r="J66" s="392"/>
      <c r="K66" s="392"/>
      <c r="L66" s="132"/>
      <c r="M66" s="392"/>
      <c r="N66" s="392"/>
      <c r="O66" s="392"/>
      <c r="P66" s="392"/>
      <c r="Q66" s="392"/>
      <c r="R66" s="132"/>
      <c r="S66" s="132"/>
      <c r="T66" s="132"/>
      <c r="U66" s="132"/>
      <c r="V66" s="132"/>
    </row>
    <row r="67" spans="1:22" ht="15.75">
      <c r="A67" s="132"/>
      <c r="B67" s="132"/>
      <c r="E67" s="392"/>
      <c r="F67" s="392"/>
      <c r="G67" s="392"/>
      <c r="H67" s="392"/>
      <c r="I67" s="392"/>
      <c r="J67" s="392"/>
      <c r="K67" s="392"/>
      <c r="L67" s="132"/>
      <c r="M67" s="392"/>
      <c r="N67" s="392"/>
      <c r="O67" s="392"/>
      <c r="P67" s="392"/>
      <c r="Q67" s="392"/>
      <c r="R67" s="132"/>
      <c r="S67" s="132"/>
      <c r="T67" s="132"/>
      <c r="U67" s="132"/>
      <c r="V67" s="132"/>
    </row>
    <row r="68" spans="1:22" ht="15.75">
      <c r="A68" s="132"/>
      <c r="B68" s="132"/>
      <c r="E68" s="392"/>
      <c r="F68" s="392"/>
      <c r="G68" s="392"/>
      <c r="H68" s="392"/>
      <c r="I68" s="392"/>
      <c r="J68" s="392"/>
      <c r="K68" s="392"/>
      <c r="L68" s="132"/>
      <c r="M68" s="392"/>
      <c r="N68" s="392"/>
      <c r="O68" s="392"/>
      <c r="P68" s="392"/>
      <c r="Q68" s="392"/>
      <c r="R68" s="132"/>
      <c r="S68" s="132"/>
      <c r="T68" s="132"/>
      <c r="U68" s="132"/>
      <c r="V68" s="132"/>
    </row>
    <row r="69" spans="1:22" ht="15.75">
      <c r="A69" s="132"/>
      <c r="B69" s="132"/>
      <c r="E69" s="392"/>
      <c r="F69" s="392"/>
      <c r="G69" s="392"/>
      <c r="H69" s="392"/>
      <c r="I69" s="392"/>
      <c r="J69" s="392"/>
      <c r="K69" s="392"/>
      <c r="L69" s="132"/>
      <c r="M69" s="392"/>
      <c r="N69" s="392"/>
      <c r="O69" s="392"/>
      <c r="P69" s="392"/>
      <c r="Q69" s="392"/>
      <c r="R69" s="132"/>
      <c r="S69" s="132"/>
      <c r="T69" s="132"/>
      <c r="U69" s="132"/>
      <c r="V69" s="132"/>
    </row>
    <row r="70" spans="1:22" ht="15.75">
      <c r="A70" s="132"/>
      <c r="B70" s="132"/>
      <c r="E70" s="392"/>
      <c r="F70" s="392"/>
      <c r="G70" s="392"/>
      <c r="H70" s="392"/>
      <c r="I70" s="392"/>
      <c r="J70" s="392"/>
      <c r="K70" s="392"/>
      <c r="L70" s="132"/>
      <c r="M70" s="392"/>
      <c r="N70" s="392"/>
      <c r="O70" s="392"/>
      <c r="P70" s="392"/>
      <c r="Q70" s="392"/>
      <c r="R70" s="132"/>
      <c r="S70" s="132"/>
      <c r="T70" s="132"/>
      <c r="U70" s="132"/>
      <c r="V70" s="132"/>
    </row>
    <row r="71" spans="1:22" ht="15.75">
      <c r="A71" s="132"/>
      <c r="B71" s="132"/>
      <c r="E71" s="392"/>
      <c r="F71" s="392"/>
      <c r="G71" s="392"/>
      <c r="H71" s="392"/>
      <c r="I71" s="392"/>
      <c r="J71" s="392"/>
      <c r="K71" s="392"/>
      <c r="L71" s="132"/>
      <c r="M71" s="392"/>
      <c r="N71" s="392"/>
      <c r="O71" s="392"/>
      <c r="P71" s="392"/>
      <c r="Q71" s="392"/>
      <c r="R71" s="132"/>
      <c r="S71" s="132"/>
      <c r="T71" s="132"/>
      <c r="U71" s="132"/>
      <c r="V71" s="132"/>
    </row>
    <row r="72" spans="1:22" ht="15.75">
      <c r="A72" s="132"/>
      <c r="B72" s="132"/>
      <c r="E72" s="392"/>
      <c r="F72" s="392"/>
      <c r="G72" s="392"/>
      <c r="H72" s="392"/>
      <c r="I72" s="392"/>
      <c r="J72" s="392"/>
      <c r="K72" s="392"/>
      <c r="L72" s="132"/>
      <c r="M72" s="392"/>
      <c r="N72" s="392"/>
      <c r="O72" s="392"/>
      <c r="P72" s="392"/>
      <c r="Q72" s="392"/>
      <c r="R72" s="132"/>
      <c r="S72" s="132"/>
      <c r="T72" s="132"/>
      <c r="U72" s="132"/>
      <c r="V72" s="132"/>
    </row>
    <row r="73" spans="1:22" ht="15.75">
      <c r="A73" s="132"/>
      <c r="B73" s="132"/>
      <c r="E73" s="392"/>
      <c r="F73" s="392"/>
      <c r="G73" s="392"/>
      <c r="H73" s="392"/>
      <c r="I73" s="392"/>
      <c r="J73" s="392"/>
      <c r="K73" s="392"/>
      <c r="L73" s="132"/>
      <c r="M73" s="392"/>
      <c r="N73" s="392"/>
      <c r="O73" s="392"/>
      <c r="P73" s="392"/>
      <c r="Q73" s="392"/>
      <c r="R73" s="132"/>
      <c r="S73" s="132"/>
      <c r="T73" s="132"/>
      <c r="U73" s="132"/>
      <c r="V73" s="132"/>
    </row>
    <row r="74" spans="1:22" ht="15.75">
      <c r="A74" s="132"/>
      <c r="B74" s="132"/>
      <c r="E74" s="392"/>
      <c r="F74" s="392"/>
      <c r="G74" s="392"/>
      <c r="H74" s="392"/>
      <c r="I74" s="392"/>
      <c r="J74" s="392"/>
      <c r="K74" s="392"/>
      <c r="L74" s="132"/>
      <c r="M74" s="392"/>
      <c r="N74" s="392"/>
      <c r="O74" s="392"/>
      <c r="P74" s="392"/>
      <c r="Q74" s="392"/>
      <c r="R74" s="132"/>
      <c r="S74" s="132"/>
      <c r="T74" s="132"/>
      <c r="U74" s="132"/>
      <c r="V74" s="132"/>
    </row>
    <row r="75" spans="1:22" ht="15.75">
      <c r="A75" s="132"/>
      <c r="B75" s="132"/>
      <c r="E75" s="392"/>
      <c r="F75" s="392"/>
      <c r="G75" s="392"/>
      <c r="H75" s="392"/>
      <c r="I75" s="392"/>
      <c r="J75" s="392"/>
      <c r="K75" s="392"/>
      <c r="L75" s="132"/>
      <c r="M75" s="392"/>
      <c r="N75" s="392"/>
      <c r="O75" s="392"/>
      <c r="P75" s="392"/>
      <c r="Q75" s="392"/>
      <c r="R75" s="132"/>
      <c r="S75" s="132"/>
      <c r="T75" s="132"/>
      <c r="U75" s="132"/>
      <c r="V75" s="132"/>
    </row>
    <row r="76" spans="1:22" ht="15.75">
      <c r="A76" s="132"/>
      <c r="B76" s="132"/>
      <c r="E76" s="392"/>
      <c r="F76" s="392"/>
      <c r="G76" s="392"/>
      <c r="H76" s="392"/>
      <c r="I76" s="392"/>
      <c r="J76" s="392"/>
      <c r="K76" s="392"/>
      <c r="L76" s="132"/>
      <c r="M76" s="392"/>
      <c r="N76" s="392"/>
      <c r="O76" s="392"/>
      <c r="P76" s="392"/>
      <c r="Q76" s="392"/>
      <c r="R76" s="132"/>
      <c r="S76" s="132"/>
      <c r="T76" s="132"/>
      <c r="U76" s="132"/>
      <c r="V76" s="132"/>
    </row>
    <row r="77" spans="1:22" ht="15.75">
      <c r="A77" s="132"/>
      <c r="B77" s="132"/>
      <c r="E77" s="392"/>
      <c r="F77" s="392"/>
      <c r="G77" s="392"/>
      <c r="H77" s="392"/>
      <c r="I77" s="392"/>
      <c r="J77" s="392"/>
      <c r="K77" s="392"/>
      <c r="L77" s="132"/>
      <c r="M77" s="392"/>
      <c r="N77" s="392"/>
      <c r="O77" s="392"/>
      <c r="P77" s="392"/>
      <c r="Q77" s="392"/>
      <c r="R77" s="132"/>
      <c r="S77" s="132"/>
      <c r="T77" s="132"/>
      <c r="U77" s="132"/>
      <c r="V77" s="132"/>
    </row>
    <row r="78" spans="1:22" ht="15.75">
      <c r="A78" s="132"/>
      <c r="B78" s="132"/>
      <c r="E78" s="392"/>
      <c r="F78" s="392"/>
      <c r="G78" s="392"/>
      <c r="H78" s="392"/>
      <c r="I78" s="392"/>
      <c r="J78" s="392"/>
      <c r="K78" s="392"/>
      <c r="L78" s="132"/>
      <c r="M78" s="392"/>
      <c r="N78" s="392"/>
      <c r="O78" s="392"/>
      <c r="P78" s="392"/>
      <c r="Q78" s="392"/>
      <c r="R78" s="132"/>
      <c r="S78" s="132"/>
      <c r="T78" s="132"/>
      <c r="U78" s="132"/>
      <c r="V78" s="132"/>
    </row>
    <row r="79" spans="1:22" ht="15.75">
      <c r="A79" s="132"/>
      <c r="B79" s="132"/>
      <c r="E79" s="392"/>
      <c r="F79" s="392"/>
      <c r="G79" s="392"/>
      <c r="H79" s="392"/>
      <c r="I79" s="392"/>
      <c r="J79" s="392"/>
      <c r="K79" s="392"/>
      <c r="L79" s="132"/>
      <c r="M79" s="392"/>
      <c r="N79" s="392"/>
      <c r="O79" s="392"/>
      <c r="P79" s="392"/>
      <c r="Q79" s="392"/>
      <c r="R79" s="132"/>
      <c r="S79" s="132"/>
      <c r="T79" s="132"/>
      <c r="U79" s="132"/>
      <c r="V79" s="132"/>
    </row>
    <row r="80" spans="1:22" ht="15.75">
      <c r="A80" s="132"/>
      <c r="B80" s="132"/>
      <c r="E80" s="392"/>
      <c r="F80" s="392"/>
      <c r="G80" s="392"/>
      <c r="H80" s="392"/>
      <c r="I80" s="392"/>
      <c r="J80" s="392"/>
      <c r="K80" s="392"/>
      <c r="L80" s="132"/>
      <c r="M80" s="392"/>
      <c r="N80" s="392"/>
      <c r="O80" s="392"/>
      <c r="P80" s="392"/>
      <c r="Q80" s="392"/>
      <c r="R80" s="132"/>
      <c r="S80" s="132"/>
      <c r="T80" s="132"/>
      <c r="U80" s="132"/>
      <c r="V80" s="132"/>
    </row>
    <row r="81" spans="1:22" ht="15.75">
      <c r="A81" s="132"/>
      <c r="B81" s="132"/>
      <c r="E81" s="392"/>
      <c r="F81" s="392"/>
      <c r="G81" s="392"/>
      <c r="H81" s="392"/>
      <c r="I81" s="392"/>
      <c r="J81" s="392"/>
      <c r="K81" s="392"/>
      <c r="L81" s="132"/>
      <c r="M81" s="392"/>
      <c r="N81" s="392"/>
      <c r="O81" s="392"/>
      <c r="P81" s="392"/>
      <c r="Q81" s="392"/>
      <c r="R81" s="132"/>
      <c r="S81" s="132"/>
      <c r="T81" s="132"/>
      <c r="U81" s="132"/>
      <c r="V81" s="132"/>
    </row>
    <row r="82" spans="1:22" ht="15.75">
      <c r="A82" s="132"/>
      <c r="B82" s="132"/>
      <c r="E82" s="392"/>
      <c r="F82" s="392"/>
      <c r="G82" s="392"/>
      <c r="H82" s="392"/>
      <c r="I82" s="392"/>
      <c r="J82" s="392"/>
      <c r="K82" s="392"/>
      <c r="L82" s="132"/>
      <c r="M82" s="392"/>
      <c r="N82" s="392"/>
      <c r="O82" s="392"/>
      <c r="P82" s="392"/>
      <c r="Q82" s="392"/>
      <c r="R82" s="132"/>
      <c r="S82" s="132"/>
      <c r="T82" s="132"/>
      <c r="U82" s="132"/>
      <c r="V82" s="132"/>
    </row>
    <row r="83" spans="1:22" ht="15.75">
      <c r="A83" s="132"/>
      <c r="B83" s="132"/>
      <c r="E83" s="392"/>
      <c r="F83" s="392"/>
      <c r="G83" s="392"/>
      <c r="H83" s="392"/>
      <c r="I83" s="392"/>
      <c r="J83" s="392"/>
      <c r="K83" s="392"/>
      <c r="L83" s="132"/>
      <c r="M83" s="392"/>
      <c r="N83" s="392"/>
      <c r="O83" s="392"/>
      <c r="P83" s="392"/>
      <c r="Q83" s="392"/>
      <c r="R83" s="132"/>
      <c r="S83" s="132"/>
      <c r="T83" s="132"/>
      <c r="U83" s="132"/>
      <c r="V83" s="132"/>
    </row>
    <row r="84" spans="1:22" ht="15.75">
      <c r="A84" s="132"/>
      <c r="B84" s="132"/>
      <c r="E84" s="392"/>
      <c r="F84" s="392"/>
      <c r="G84" s="392"/>
      <c r="H84" s="392"/>
      <c r="I84" s="392"/>
      <c r="J84" s="392"/>
      <c r="K84" s="392"/>
      <c r="L84" s="132"/>
      <c r="M84" s="392"/>
      <c r="N84" s="392"/>
      <c r="O84" s="392"/>
      <c r="P84" s="392"/>
      <c r="Q84" s="392"/>
      <c r="R84" s="132"/>
      <c r="S84" s="132"/>
      <c r="T84" s="132"/>
      <c r="U84" s="132"/>
      <c r="V84" s="132"/>
    </row>
    <row r="85" spans="1:22" ht="15.75">
      <c r="A85" s="132"/>
      <c r="B85" s="132"/>
      <c r="E85" s="392"/>
      <c r="F85" s="392"/>
      <c r="G85" s="392"/>
      <c r="H85" s="392"/>
      <c r="I85" s="392"/>
      <c r="J85" s="392"/>
      <c r="K85" s="392"/>
      <c r="L85" s="132"/>
      <c r="M85" s="392"/>
      <c r="N85" s="392"/>
      <c r="O85" s="392"/>
      <c r="P85" s="392"/>
      <c r="Q85" s="392"/>
      <c r="R85" s="132"/>
      <c r="S85" s="132"/>
      <c r="T85" s="132"/>
      <c r="U85" s="132"/>
      <c r="V85" s="132"/>
    </row>
    <row r="86" spans="1:22" ht="15.75">
      <c r="A86" s="132"/>
      <c r="B86" s="132"/>
      <c r="E86" s="392"/>
      <c r="F86" s="392"/>
      <c r="G86" s="392"/>
      <c r="H86" s="392"/>
      <c r="I86" s="392"/>
      <c r="J86" s="392"/>
      <c r="K86" s="392"/>
      <c r="L86" s="132"/>
      <c r="M86" s="392"/>
      <c r="N86" s="392"/>
      <c r="O86" s="392"/>
      <c r="P86" s="392"/>
      <c r="Q86" s="392"/>
      <c r="R86" s="132"/>
      <c r="S86" s="132"/>
      <c r="T86" s="132"/>
      <c r="U86" s="132"/>
      <c r="V86" s="132"/>
    </row>
    <row r="87" spans="1:22" ht="15.75">
      <c r="A87" s="132"/>
      <c r="B87" s="132"/>
      <c r="E87" s="392"/>
      <c r="F87" s="392"/>
      <c r="G87" s="392"/>
      <c r="H87" s="392"/>
      <c r="I87" s="392"/>
      <c r="J87" s="392"/>
      <c r="K87" s="392"/>
      <c r="L87" s="132"/>
      <c r="M87" s="392"/>
      <c r="N87" s="392"/>
      <c r="O87" s="392"/>
      <c r="P87" s="392"/>
      <c r="Q87" s="392"/>
      <c r="R87" s="132"/>
      <c r="S87" s="132"/>
      <c r="T87" s="132"/>
      <c r="U87" s="132"/>
      <c r="V87" s="132"/>
    </row>
    <row r="88" spans="1:22" ht="15.75">
      <c r="A88" s="132"/>
      <c r="B88" s="132"/>
      <c r="E88" s="392"/>
      <c r="F88" s="392"/>
      <c r="G88" s="392"/>
      <c r="H88" s="392"/>
      <c r="I88" s="392"/>
      <c r="J88" s="392"/>
      <c r="K88" s="392"/>
      <c r="L88" s="132"/>
      <c r="M88" s="392"/>
      <c r="N88" s="392"/>
      <c r="O88" s="392"/>
      <c r="P88" s="392"/>
      <c r="Q88" s="392"/>
      <c r="R88" s="132"/>
      <c r="S88" s="132"/>
      <c r="T88" s="132"/>
      <c r="U88" s="132"/>
      <c r="V88" s="132"/>
    </row>
    <row r="89" spans="1:22" ht="15.75">
      <c r="A89" s="132"/>
      <c r="B89" s="132"/>
      <c r="E89" s="392"/>
      <c r="F89" s="392"/>
      <c r="G89" s="392"/>
      <c r="H89" s="392"/>
      <c r="I89" s="392"/>
      <c r="J89" s="392"/>
      <c r="K89" s="392"/>
      <c r="L89" s="132"/>
      <c r="M89" s="392"/>
      <c r="N89" s="392"/>
      <c r="O89" s="392"/>
      <c r="P89" s="392"/>
      <c r="Q89" s="392"/>
      <c r="R89" s="132"/>
      <c r="S89" s="132"/>
      <c r="T89" s="132"/>
      <c r="U89" s="132"/>
      <c r="V89" s="132"/>
    </row>
    <row r="90" spans="1:22" ht="15.75">
      <c r="A90" s="132"/>
      <c r="B90" s="132"/>
      <c r="E90" s="392"/>
      <c r="F90" s="392"/>
      <c r="G90" s="392"/>
      <c r="H90" s="392"/>
      <c r="I90" s="392"/>
      <c r="J90" s="392"/>
      <c r="K90" s="392"/>
      <c r="L90" s="132"/>
      <c r="M90" s="392"/>
      <c r="N90" s="392"/>
      <c r="O90" s="392"/>
      <c r="P90" s="392"/>
      <c r="Q90" s="392"/>
      <c r="R90" s="132"/>
      <c r="S90" s="132"/>
      <c r="T90" s="132"/>
      <c r="U90" s="132"/>
      <c r="V90" s="132"/>
    </row>
    <row r="91" spans="1:22" ht="15.75">
      <c r="A91" s="132"/>
      <c r="B91" s="132"/>
      <c r="E91" s="392"/>
      <c r="F91" s="392"/>
      <c r="G91" s="392"/>
      <c r="H91" s="392"/>
      <c r="I91" s="392"/>
      <c r="J91" s="392"/>
      <c r="K91" s="392"/>
      <c r="L91" s="132"/>
      <c r="M91" s="392"/>
      <c r="N91" s="392"/>
      <c r="O91" s="392"/>
      <c r="P91" s="392"/>
      <c r="Q91" s="392"/>
      <c r="R91" s="132"/>
      <c r="S91" s="132"/>
      <c r="T91" s="132"/>
      <c r="U91" s="132"/>
      <c r="V91" s="132"/>
    </row>
    <row r="92" spans="1:22" ht="15.75">
      <c r="A92" s="132"/>
      <c r="B92" s="132"/>
      <c r="E92" s="392"/>
      <c r="F92" s="392"/>
      <c r="G92" s="392"/>
      <c r="H92" s="392"/>
      <c r="I92" s="392"/>
      <c r="J92" s="392"/>
      <c r="K92" s="392"/>
      <c r="L92" s="132"/>
      <c r="M92" s="392"/>
      <c r="N92" s="392"/>
      <c r="O92" s="392"/>
      <c r="P92" s="392"/>
      <c r="Q92" s="392"/>
      <c r="R92" s="132"/>
      <c r="S92" s="132"/>
      <c r="T92" s="132"/>
      <c r="U92" s="132"/>
      <c r="V92" s="132"/>
    </row>
    <row r="93" spans="1:22" ht="15.75">
      <c r="A93" s="132"/>
      <c r="B93" s="132"/>
      <c r="E93" s="392"/>
      <c r="F93" s="392"/>
      <c r="G93" s="392"/>
      <c r="H93" s="392"/>
      <c r="I93" s="392"/>
      <c r="J93" s="392"/>
      <c r="K93" s="392"/>
      <c r="L93" s="132"/>
      <c r="M93" s="392"/>
      <c r="N93" s="392"/>
      <c r="O93" s="392"/>
      <c r="P93" s="392"/>
      <c r="Q93" s="392"/>
      <c r="R93" s="132"/>
      <c r="S93" s="132"/>
      <c r="T93" s="132"/>
      <c r="U93" s="132"/>
      <c r="V93" s="132"/>
    </row>
    <row r="94" spans="1:22" ht="15.75">
      <c r="A94" s="132"/>
      <c r="B94" s="132"/>
      <c r="E94" s="392"/>
      <c r="F94" s="392"/>
      <c r="G94" s="392"/>
      <c r="H94" s="392"/>
      <c r="I94" s="392"/>
      <c r="J94" s="392"/>
      <c r="K94" s="392"/>
      <c r="L94" s="132"/>
      <c r="M94" s="392"/>
      <c r="N94" s="392"/>
      <c r="O94" s="392"/>
      <c r="P94" s="392"/>
      <c r="Q94" s="392"/>
      <c r="R94" s="132"/>
      <c r="S94" s="132"/>
      <c r="T94" s="132"/>
      <c r="U94" s="132"/>
      <c r="V94" s="132"/>
    </row>
    <row r="95" spans="1:22" ht="15.75">
      <c r="A95" s="132"/>
      <c r="B95" s="132"/>
      <c r="E95" s="392"/>
      <c r="F95" s="392"/>
      <c r="G95" s="392"/>
      <c r="H95" s="392"/>
      <c r="I95" s="392"/>
      <c r="J95" s="392"/>
      <c r="K95" s="392"/>
      <c r="L95" s="132"/>
      <c r="M95" s="392"/>
      <c r="N95" s="392"/>
      <c r="O95" s="392"/>
      <c r="P95" s="392"/>
      <c r="Q95" s="392"/>
      <c r="R95" s="132"/>
      <c r="S95" s="132"/>
      <c r="T95" s="132"/>
      <c r="U95" s="132"/>
      <c r="V95" s="132"/>
    </row>
    <row r="96" spans="1:22" ht="15.75">
      <c r="A96" s="132"/>
      <c r="B96" s="132"/>
      <c r="E96" s="392"/>
      <c r="F96" s="392"/>
      <c r="G96" s="392"/>
      <c r="H96" s="392"/>
      <c r="I96" s="392"/>
      <c r="J96" s="392"/>
      <c r="K96" s="392"/>
      <c r="L96" s="132"/>
      <c r="M96" s="392"/>
      <c r="N96" s="392"/>
      <c r="O96" s="392"/>
      <c r="P96" s="392"/>
      <c r="Q96" s="392"/>
      <c r="R96" s="132"/>
      <c r="S96" s="132"/>
      <c r="T96" s="132"/>
      <c r="U96" s="132"/>
      <c r="V96" s="132"/>
    </row>
    <row r="97" spans="1:22" ht="15.75">
      <c r="A97" s="132"/>
      <c r="B97" s="132"/>
      <c r="E97" s="392"/>
      <c r="F97" s="392"/>
      <c r="G97" s="392"/>
      <c r="H97" s="392"/>
      <c r="I97" s="392"/>
      <c r="J97" s="392"/>
      <c r="K97" s="392"/>
      <c r="L97" s="132"/>
      <c r="M97" s="392"/>
      <c r="N97" s="392"/>
      <c r="O97" s="392"/>
      <c r="P97" s="392"/>
      <c r="Q97" s="392"/>
      <c r="R97" s="132"/>
      <c r="S97" s="132"/>
      <c r="T97" s="132"/>
      <c r="U97" s="132"/>
      <c r="V97" s="132"/>
    </row>
    <row r="98" spans="1:22" ht="15.75">
      <c r="A98" s="132"/>
      <c r="B98" s="132"/>
      <c r="E98" s="392"/>
      <c r="F98" s="392"/>
      <c r="G98" s="392"/>
      <c r="H98" s="392"/>
      <c r="I98" s="392"/>
      <c r="J98" s="392"/>
      <c r="K98" s="392"/>
      <c r="L98" s="132"/>
      <c r="M98" s="392"/>
      <c r="N98" s="392"/>
      <c r="O98" s="392"/>
      <c r="P98" s="392"/>
      <c r="Q98" s="392"/>
      <c r="R98" s="132"/>
      <c r="S98" s="132"/>
      <c r="T98" s="132"/>
      <c r="U98" s="132"/>
      <c r="V98" s="132"/>
    </row>
    <row r="99" spans="1:22" ht="15.75">
      <c r="A99" s="132"/>
      <c r="B99" s="132"/>
      <c r="E99" s="392"/>
      <c r="F99" s="392"/>
      <c r="G99" s="392"/>
      <c r="H99" s="392"/>
      <c r="I99" s="392"/>
      <c r="J99" s="392"/>
      <c r="K99" s="392"/>
      <c r="L99" s="132"/>
      <c r="M99" s="392"/>
      <c r="N99" s="392"/>
      <c r="O99" s="392"/>
      <c r="P99" s="392"/>
      <c r="Q99" s="392"/>
      <c r="R99" s="132"/>
      <c r="S99" s="132"/>
      <c r="T99" s="132"/>
      <c r="U99" s="132"/>
      <c r="V99" s="132"/>
    </row>
    <row r="100" spans="1:22">
      <c r="A100" s="16"/>
      <c r="B100" s="16"/>
      <c r="C100" s="16"/>
      <c r="D100" s="16"/>
      <c r="E100" s="16"/>
      <c r="F100" s="16"/>
      <c r="G100" s="16"/>
      <c r="H100" s="16"/>
      <c r="I100" s="16"/>
      <c r="J100" s="16"/>
      <c r="K100" s="16"/>
      <c r="L100" s="16"/>
      <c r="M100" s="16"/>
      <c r="N100" s="16"/>
      <c r="O100" s="16"/>
      <c r="P100" s="16"/>
      <c r="Q100" s="16"/>
      <c r="R100" s="16"/>
      <c r="S100" s="16"/>
      <c r="T100" s="16"/>
      <c r="U100" s="16"/>
      <c r="V100" s="16"/>
    </row>
    <row r="101" spans="1:22">
      <c r="A101" s="16"/>
      <c r="B101" s="16"/>
      <c r="C101" s="16"/>
      <c r="D101" s="16"/>
      <c r="E101" s="16"/>
      <c r="F101" s="16"/>
      <c r="G101" s="16"/>
      <c r="H101" s="16"/>
      <c r="I101" s="16"/>
      <c r="J101" s="16"/>
      <c r="K101" s="16"/>
      <c r="L101" s="16"/>
      <c r="M101" s="16"/>
      <c r="N101" s="16"/>
      <c r="O101" s="16"/>
      <c r="P101" s="16"/>
      <c r="Q101" s="16"/>
      <c r="R101" s="16"/>
      <c r="S101" s="16"/>
      <c r="T101" s="16"/>
      <c r="U101" s="16"/>
      <c r="V101" s="16"/>
    </row>
    <row r="102" spans="1:22">
      <c r="A102" s="16"/>
      <c r="B102" s="16"/>
      <c r="C102" s="16"/>
      <c r="D102" s="16"/>
      <c r="E102" s="16"/>
      <c r="F102" s="16"/>
      <c r="G102" s="16"/>
      <c r="H102" s="16"/>
      <c r="I102" s="16"/>
      <c r="J102" s="16"/>
      <c r="K102" s="16"/>
      <c r="L102" s="16"/>
      <c r="M102" s="16"/>
      <c r="N102" s="16"/>
      <c r="O102" s="16"/>
      <c r="P102" s="16"/>
      <c r="Q102" s="16"/>
      <c r="R102" s="16"/>
      <c r="S102" s="16"/>
      <c r="T102" s="16"/>
      <c r="U102" s="16"/>
      <c r="V102" s="16"/>
    </row>
    <row r="103" spans="1:22">
      <c r="A103" s="16"/>
      <c r="B103" s="16"/>
      <c r="C103" s="16"/>
      <c r="D103" s="16"/>
      <c r="E103" s="16"/>
      <c r="F103" s="16"/>
      <c r="G103" s="16"/>
      <c r="H103" s="16"/>
      <c r="I103" s="16"/>
      <c r="J103" s="16"/>
      <c r="K103" s="16"/>
      <c r="L103" s="16"/>
      <c r="M103" s="16"/>
      <c r="N103" s="16"/>
      <c r="O103" s="16"/>
      <c r="P103" s="16"/>
      <c r="Q103" s="16"/>
      <c r="R103" s="16"/>
      <c r="S103" s="16"/>
      <c r="T103" s="16"/>
      <c r="U103" s="16"/>
      <c r="V103" s="16"/>
    </row>
    <row r="104" spans="1:22">
      <c r="A104" s="16"/>
      <c r="B104" s="16"/>
      <c r="C104" s="16"/>
      <c r="D104" s="16"/>
      <c r="E104" s="16"/>
      <c r="F104" s="16"/>
      <c r="G104" s="16"/>
      <c r="H104" s="16"/>
      <c r="I104" s="16"/>
      <c r="J104" s="16"/>
      <c r="K104" s="16"/>
      <c r="L104" s="16"/>
      <c r="M104" s="16"/>
      <c r="N104" s="16"/>
      <c r="O104" s="16"/>
      <c r="P104" s="16"/>
      <c r="Q104" s="16"/>
      <c r="R104" s="16"/>
      <c r="S104" s="16"/>
      <c r="T104" s="16"/>
      <c r="U104" s="16"/>
      <c r="V104" s="16"/>
    </row>
    <row r="105" spans="1:22">
      <c r="A105" s="16"/>
      <c r="B105" s="16"/>
      <c r="C105" s="16"/>
      <c r="D105" s="16"/>
      <c r="E105" s="16"/>
      <c r="F105" s="16"/>
      <c r="G105" s="16"/>
      <c r="H105" s="16"/>
      <c r="I105" s="16"/>
      <c r="J105" s="16"/>
      <c r="K105" s="16"/>
      <c r="L105" s="16"/>
      <c r="M105" s="16"/>
      <c r="N105" s="16"/>
      <c r="O105" s="16"/>
      <c r="P105" s="16"/>
      <c r="Q105" s="16"/>
      <c r="R105" s="16"/>
      <c r="S105" s="16"/>
      <c r="T105" s="16"/>
      <c r="U105" s="16"/>
      <c r="V105" s="16"/>
    </row>
    <row r="106" spans="1:22">
      <c r="A106" s="16"/>
      <c r="B106" s="16"/>
      <c r="C106" s="16"/>
      <c r="D106" s="16"/>
      <c r="E106" s="16"/>
      <c r="F106" s="16"/>
      <c r="G106" s="16"/>
      <c r="H106" s="16"/>
      <c r="I106" s="16"/>
      <c r="J106" s="16"/>
      <c r="K106" s="16"/>
      <c r="L106" s="16"/>
      <c r="M106" s="16"/>
      <c r="N106" s="16"/>
      <c r="O106" s="16"/>
      <c r="P106" s="16"/>
      <c r="Q106" s="16"/>
      <c r="R106" s="16"/>
      <c r="S106" s="16"/>
      <c r="T106" s="16"/>
      <c r="U106" s="16"/>
      <c r="V106" s="16"/>
    </row>
    <row r="107" spans="1:22" ht="12.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row>
    <row r="108" spans="1:22" ht="12.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row>
    <row r="109" spans="1:22" ht="12.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row>
    <row r="110" spans="1:22" ht="12.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row>
    <row r="111" spans="1:22" ht="12.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row>
    <row r="112" spans="1:22" ht="12.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row>
    <row r="113" spans="1:22" ht="12.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row>
    <row r="114" spans="1:22" ht="12.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row>
    <row r="115" spans="1:22" ht="12.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row>
    <row r="116" spans="1:22" ht="12.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row>
    <row r="117" spans="1:22" ht="12.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row>
    <row r="118" spans="1:22">
      <c r="A118" s="16"/>
      <c r="B118" s="16"/>
      <c r="C118" s="16"/>
      <c r="D118" s="16"/>
      <c r="E118" s="16"/>
      <c r="F118" s="16"/>
      <c r="G118" s="16"/>
      <c r="H118" s="16"/>
      <c r="I118" s="16"/>
      <c r="J118" s="16"/>
      <c r="K118" s="16"/>
      <c r="L118" s="16"/>
      <c r="M118" s="16"/>
      <c r="N118" s="16"/>
      <c r="O118" s="16"/>
      <c r="P118" s="16"/>
      <c r="Q118" s="16"/>
      <c r="R118" s="16"/>
      <c r="S118" s="16"/>
      <c r="T118" s="16"/>
      <c r="U118" s="16"/>
      <c r="V118" s="16"/>
    </row>
    <row r="119" spans="1:22">
      <c r="A119" s="16"/>
      <c r="B119" s="16"/>
      <c r="C119" s="16"/>
      <c r="D119" s="16"/>
      <c r="E119" s="16"/>
      <c r="F119" s="16"/>
      <c r="G119" s="16"/>
      <c r="H119" s="16"/>
      <c r="I119" s="16"/>
      <c r="J119" s="16"/>
      <c r="K119" s="16"/>
      <c r="L119" s="16"/>
      <c r="M119" s="16"/>
      <c r="N119" s="16"/>
      <c r="O119" s="16"/>
      <c r="P119" s="16"/>
      <c r="Q119" s="16"/>
      <c r="R119" s="16"/>
      <c r="S119" s="16"/>
      <c r="T119" s="16"/>
      <c r="U119" s="16"/>
      <c r="V119" s="16"/>
    </row>
    <row r="120" spans="1:22">
      <c r="A120" s="16"/>
      <c r="B120" s="16"/>
      <c r="C120" s="16"/>
      <c r="D120" s="16"/>
      <c r="E120" s="16"/>
      <c r="F120" s="16"/>
      <c r="G120" s="16"/>
      <c r="H120" s="16"/>
      <c r="I120" s="16"/>
      <c r="J120" s="16"/>
      <c r="K120" s="16"/>
      <c r="L120" s="16"/>
      <c r="M120" s="16"/>
      <c r="N120" s="16"/>
      <c r="O120" s="16"/>
      <c r="P120" s="16"/>
      <c r="Q120" s="16"/>
      <c r="R120" s="16"/>
      <c r="S120" s="16"/>
      <c r="T120" s="16"/>
      <c r="U120" s="16"/>
      <c r="V120" s="16"/>
    </row>
    <row r="121" spans="1:22">
      <c r="A121" s="16"/>
      <c r="B121" s="16"/>
      <c r="C121" s="16"/>
      <c r="D121" s="16"/>
      <c r="E121" s="16"/>
      <c r="F121" s="16"/>
      <c r="G121" s="16"/>
      <c r="H121" s="16"/>
      <c r="I121" s="16"/>
      <c r="J121" s="16"/>
      <c r="K121" s="16"/>
      <c r="L121" s="16"/>
      <c r="M121" s="16"/>
      <c r="N121" s="16"/>
      <c r="O121" s="16"/>
      <c r="P121" s="16"/>
      <c r="Q121" s="16"/>
      <c r="R121" s="16"/>
      <c r="S121" s="16"/>
      <c r="T121" s="16"/>
      <c r="U121" s="16"/>
      <c r="V121" s="16"/>
    </row>
    <row r="122" spans="1:22">
      <c r="A122" s="16"/>
      <c r="B122" s="16"/>
      <c r="C122" s="16"/>
      <c r="D122" s="16"/>
      <c r="E122" s="16"/>
      <c r="F122" s="16"/>
      <c r="G122" s="16"/>
      <c r="H122" s="16"/>
      <c r="I122" s="16"/>
      <c r="J122" s="16"/>
      <c r="K122" s="16"/>
      <c r="L122" s="16"/>
      <c r="M122" s="16"/>
      <c r="N122" s="16"/>
      <c r="O122" s="16"/>
      <c r="P122" s="16"/>
      <c r="Q122" s="16"/>
      <c r="R122" s="16"/>
      <c r="S122" s="16"/>
      <c r="T122" s="16"/>
      <c r="U122" s="16"/>
      <c r="V122" s="16"/>
    </row>
    <row r="123" spans="1:22">
      <c r="A123" s="16"/>
      <c r="B123" s="16"/>
      <c r="C123" s="16"/>
      <c r="D123" s="16"/>
      <c r="E123" s="16"/>
      <c r="F123" s="16"/>
      <c r="G123" s="16"/>
      <c r="H123" s="16"/>
      <c r="I123" s="16"/>
      <c r="J123" s="16"/>
      <c r="K123" s="16"/>
      <c r="L123" s="16"/>
      <c r="M123" s="16"/>
      <c r="N123" s="16"/>
      <c r="O123" s="16"/>
      <c r="P123" s="16"/>
      <c r="Q123" s="16"/>
      <c r="R123" s="16"/>
      <c r="S123" s="16"/>
      <c r="T123" s="16"/>
      <c r="U123" s="16"/>
      <c r="V123" s="16"/>
    </row>
    <row r="124" spans="1:22">
      <c r="A124" s="16"/>
      <c r="B124" s="16"/>
      <c r="C124" s="16"/>
      <c r="D124" s="16"/>
      <c r="E124" s="16"/>
      <c r="F124" s="16"/>
      <c r="G124" s="16"/>
      <c r="H124" s="16"/>
      <c r="I124" s="16"/>
      <c r="J124" s="16"/>
      <c r="K124" s="16"/>
      <c r="L124" s="16"/>
      <c r="M124" s="16"/>
      <c r="N124" s="16"/>
      <c r="O124" s="16"/>
      <c r="P124" s="16"/>
      <c r="Q124" s="16"/>
      <c r="R124" s="16"/>
      <c r="S124" s="16"/>
      <c r="T124" s="16"/>
      <c r="U124" s="16"/>
      <c r="V124" s="16"/>
    </row>
    <row r="125" spans="1:22">
      <c r="A125" s="16"/>
      <c r="B125" s="16"/>
      <c r="C125" s="16"/>
      <c r="D125" s="16"/>
      <c r="E125" s="16"/>
      <c r="F125" s="16"/>
      <c r="G125" s="16"/>
      <c r="H125" s="16"/>
      <c r="I125" s="16"/>
      <c r="J125" s="16"/>
      <c r="K125" s="16"/>
      <c r="L125" s="16"/>
      <c r="M125" s="16"/>
      <c r="N125" s="16"/>
      <c r="O125" s="16"/>
      <c r="P125" s="16"/>
      <c r="Q125" s="16"/>
      <c r="R125" s="16"/>
      <c r="S125" s="16"/>
      <c r="T125" s="16"/>
      <c r="U125" s="16"/>
      <c r="V125" s="16"/>
    </row>
    <row r="126" spans="1:22">
      <c r="A126" s="16"/>
      <c r="B126" s="16"/>
      <c r="C126" s="16"/>
      <c r="D126" s="16"/>
      <c r="E126" s="16"/>
      <c r="F126" s="16"/>
      <c r="G126" s="16"/>
      <c r="H126" s="16"/>
      <c r="I126" s="16"/>
      <c r="J126" s="16"/>
      <c r="K126" s="16"/>
      <c r="L126" s="16"/>
      <c r="M126" s="16"/>
      <c r="N126" s="16"/>
      <c r="O126" s="16"/>
      <c r="P126" s="16"/>
      <c r="Q126" s="16"/>
      <c r="R126" s="16"/>
      <c r="S126" s="16"/>
      <c r="T126" s="16"/>
      <c r="U126" s="16"/>
      <c r="V126" s="16"/>
    </row>
    <row r="127" spans="1:22">
      <c r="A127" s="16"/>
      <c r="B127" s="16"/>
      <c r="C127" s="16"/>
      <c r="D127" s="16"/>
      <c r="E127" s="16"/>
      <c r="F127" s="16"/>
      <c r="G127" s="16"/>
      <c r="H127" s="16"/>
      <c r="I127" s="16"/>
      <c r="J127" s="16"/>
      <c r="K127" s="16"/>
      <c r="L127" s="16"/>
      <c r="M127" s="16"/>
      <c r="N127" s="16"/>
      <c r="O127" s="16"/>
      <c r="P127" s="16"/>
      <c r="Q127" s="16"/>
      <c r="R127" s="16"/>
      <c r="S127" s="16"/>
      <c r="T127" s="16"/>
      <c r="U127" s="16"/>
      <c r="V127" s="16"/>
    </row>
    <row r="128" spans="1:22">
      <c r="A128" s="16"/>
      <c r="B128" s="16"/>
      <c r="C128" s="16"/>
      <c r="D128" s="16"/>
      <c r="E128" s="16"/>
      <c r="F128" s="16"/>
      <c r="G128" s="16"/>
      <c r="H128" s="16"/>
      <c r="I128" s="16"/>
      <c r="J128" s="16"/>
      <c r="K128" s="16"/>
      <c r="L128" s="16"/>
      <c r="M128" s="16"/>
      <c r="N128" s="16"/>
      <c r="O128" s="16"/>
      <c r="P128" s="16"/>
      <c r="Q128" s="16"/>
      <c r="R128" s="16"/>
      <c r="S128" s="16"/>
      <c r="T128" s="16"/>
      <c r="U128" s="16"/>
      <c r="V128" s="16"/>
    </row>
    <row r="129" spans="1:22">
      <c r="A129" s="16"/>
      <c r="B129" s="16"/>
      <c r="C129" s="16"/>
      <c r="D129" s="16"/>
      <c r="E129" s="16"/>
      <c r="F129" s="16"/>
      <c r="G129" s="16"/>
      <c r="H129" s="16"/>
      <c r="I129" s="16"/>
      <c r="J129" s="16"/>
      <c r="K129" s="16"/>
      <c r="L129" s="16"/>
      <c r="M129" s="16"/>
      <c r="N129" s="16"/>
      <c r="O129" s="16"/>
      <c r="P129" s="16"/>
      <c r="Q129" s="16"/>
      <c r="R129" s="16"/>
      <c r="S129" s="16"/>
      <c r="T129" s="16"/>
      <c r="U129" s="16"/>
      <c r="V129" s="16"/>
    </row>
    <row r="130" spans="1:22">
      <c r="A130" s="16"/>
      <c r="B130" s="16"/>
      <c r="C130" s="16"/>
      <c r="D130" s="16"/>
      <c r="E130" s="16"/>
      <c r="F130" s="16"/>
      <c r="G130" s="16"/>
      <c r="H130" s="16"/>
      <c r="I130" s="16"/>
      <c r="J130" s="16"/>
      <c r="K130" s="16"/>
      <c r="L130" s="16"/>
      <c r="M130" s="16"/>
      <c r="N130" s="16"/>
      <c r="O130" s="16"/>
      <c r="P130" s="16"/>
      <c r="Q130" s="16"/>
      <c r="R130" s="16"/>
      <c r="S130" s="16"/>
      <c r="T130" s="16"/>
      <c r="U130" s="16"/>
      <c r="V130" s="16"/>
    </row>
    <row r="131" spans="1:22">
      <c r="A131" s="16"/>
      <c r="B131" s="16"/>
      <c r="C131" s="16"/>
      <c r="D131" s="16"/>
      <c r="E131" s="16"/>
      <c r="F131" s="16"/>
      <c r="G131" s="16"/>
      <c r="H131" s="16"/>
      <c r="I131" s="16"/>
      <c r="J131" s="16"/>
      <c r="K131" s="16"/>
      <c r="L131" s="16"/>
      <c r="M131" s="16"/>
      <c r="N131" s="16"/>
      <c r="O131" s="16"/>
      <c r="P131" s="16"/>
      <c r="Q131" s="16"/>
      <c r="R131" s="16"/>
      <c r="S131" s="16"/>
      <c r="T131" s="16"/>
      <c r="U131" s="16"/>
      <c r="V131" s="16"/>
    </row>
    <row r="132" spans="1:22">
      <c r="A132" s="16"/>
      <c r="B132" s="16"/>
      <c r="C132" s="16"/>
      <c r="D132" s="16"/>
      <c r="E132" s="16"/>
      <c r="F132" s="16"/>
      <c r="G132" s="16"/>
      <c r="H132" s="16"/>
      <c r="I132" s="16"/>
      <c r="J132" s="16"/>
      <c r="K132" s="16"/>
      <c r="L132" s="16"/>
      <c r="M132" s="16"/>
      <c r="N132" s="16"/>
      <c r="O132" s="16"/>
      <c r="P132" s="16"/>
      <c r="Q132" s="16"/>
      <c r="R132" s="16"/>
      <c r="S132" s="16"/>
      <c r="T132" s="16"/>
      <c r="U132" s="16"/>
      <c r="V132" s="16"/>
    </row>
    <row r="133" spans="1:22">
      <c r="A133" s="16"/>
      <c r="B133" s="16"/>
      <c r="C133" s="16"/>
      <c r="D133" s="16"/>
      <c r="E133" s="16"/>
      <c r="F133" s="16"/>
      <c r="G133" s="16"/>
      <c r="H133" s="16"/>
      <c r="I133" s="16"/>
      <c r="J133" s="16"/>
      <c r="K133" s="16"/>
      <c r="L133" s="16"/>
      <c r="M133" s="16"/>
      <c r="N133" s="16"/>
      <c r="O133" s="16"/>
      <c r="P133" s="16"/>
      <c r="Q133" s="16"/>
      <c r="R133" s="16"/>
      <c r="S133" s="16"/>
      <c r="T133" s="16"/>
      <c r="U133" s="16"/>
      <c r="V133" s="16"/>
    </row>
    <row r="134" spans="1:22">
      <c r="A134" s="16"/>
      <c r="B134" s="16"/>
      <c r="C134" s="16"/>
      <c r="D134" s="16"/>
      <c r="E134" s="16"/>
      <c r="F134" s="16"/>
      <c r="G134" s="16"/>
      <c r="H134" s="16"/>
      <c r="I134" s="16"/>
      <c r="J134" s="16"/>
      <c r="K134" s="16"/>
      <c r="L134" s="16"/>
      <c r="M134" s="16"/>
      <c r="N134" s="16"/>
      <c r="O134" s="16"/>
      <c r="P134" s="16"/>
      <c r="Q134" s="16"/>
      <c r="R134" s="16"/>
      <c r="S134" s="16"/>
      <c r="T134" s="16"/>
      <c r="U134" s="16"/>
      <c r="V134" s="16"/>
    </row>
    <row r="135" spans="1:22">
      <c r="A135" s="16"/>
      <c r="B135" s="16"/>
      <c r="C135" s="16"/>
      <c r="D135" s="16"/>
      <c r="E135" s="16"/>
      <c r="F135" s="16"/>
      <c r="G135" s="16"/>
      <c r="H135" s="16"/>
      <c r="I135" s="16"/>
      <c r="J135" s="16"/>
      <c r="K135" s="16"/>
      <c r="L135" s="16"/>
      <c r="M135" s="16"/>
      <c r="N135" s="16"/>
      <c r="O135" s="16"/>
      <c r="P135" s="16"/>
      <c r="Q135" s="16"/>
      <c r="R135" s="16"/>
      <c r="S135" s="16"/>
      <c r="T135" s="16"/>
      <c r="U135" s="16"/>
      <c r="V135" s="16"/>
    </row>
    <row r="136" spans="1:22">
      <c r="A136" s="16"/>
      <c r="B136" s="16"/>
      <c r="C136" s="16"/>
      <c r="D136" s="16"/>
      <c r="E136" s="16"/>
      <c r="F136" s="16"/>
      <c r="G136" s="16"/>
      <c r="H136" s="16"/>
      <c r="I136" s="16"/>
      <c r="J136" s="16"/>
      <c r="K136" s="16"/>
      <c r="L136" s="16"/>
      <c r="M136" s="16"/>
      <c r="N136" s="16"/>
      <c r="O136" s="16"/>
      <c r="P136" s="16"/>
      <c r="Q136" s="16"/>
      <c r="R136" s="16"/>
      <c r="S136" s="16"/>
      <c r="T136" s="16"/>
      <c r="U136" s="16"/>
      <c r="V136" s="16"/>
    </row>
    <row r="137" spans="1:22">
      <c r="A137" s="16"/>
      <c r="B137" s="16"/>
      <c r="C137" s="16"/>
      <c r="D137" s="16"/>
      <c r="E137" s="16"/>
      <c r="F137" s="16"/>
      <c r="G137" s="16"/>
      <c r="H137" s="16"/>
      <c r="I137" s="16"/>
      <c r="J137" s="16"/>
      <c r="K137" s="16"/>
      <c r="L137" s="16"/>
      <c r="M137" s="16"/>
      <c r="N137" s="16"/>
      <c r="O137" s="16"/>
      <c r="P137" s="16"/>
      <c r="Q137" s="16"/>
      <c r="R137" s="16"/>
      <c r="S137" s="16"/>
      <c r="T137" s="16"/>
      <c r="U137" s="16"/>
      <c r="V137" s="16"/>
    </row>
    <row r="138" spans="1:22" ht="12.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row>
    <row r="139" spans="1:22" ht="12.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row>
    <row r="140" spans="1:22" ht="12.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row>
    <row r="141" spans="1:22">
      <c r="A141" s="16"/>
      <c r="B141" s="16"/>
      <c r="C141" s="16"/>
      <c r="D141" s="16"/>
      <c r="E141" s="16"/>
      <c r="F141" s="16"/>
      <c r="G141" s="16"/>
      <c r="H141" s="16"/>
      <c r="I141" s="16"/>
      <c r="J141" s="16"/>
      <c r="K141" s="16"/>
      <c r="L141" s="16"/>
      <c r="M141" s="16"/>
      <c r="N141" s="16"/>
      <c r="O141" s="16"/>
      <c r="P141" s="16"/>
      <c r="Q141" s="16"/>
      <c r="R141" s="16"/>
      <c r="S141" s="16"/>
      <c r="T141" s="16"/>
      <c r="U141" s="16"/>
      <c r="V141" s="16"/>
    </row>
    <row r="142" spans="1:22">
      <c r="A142" s="16"/>
      <c r="B142" s="16"/>
      <c r="C142" s="16"/>
      <c r="D142" s="16"/>
      <c r="E142" s="16"/>
      <c r="F142" s="16"/>
      <c r="G142" s="16"/>
      <c r="H142" s="16"/>
      <c r="I142" s="16"/>
      <c r="J142" s="16"/>
      <c r="K142" s="16"/>
      <c r="L142" s="16"/>
      <c r="M142" s="16"/>
      <c r="N142" s="16"/>
      <c r="O142" s="16"/>
      <c r="P142" s="16"/>
      <c r="Q142" s="16"/>
      <c r="R142" s="16"/>
      <c r="S142" s="16"/>
      <c r="T142" s="16"/>
      <c r="U142" s="16"/>
      <c r="V142" s="16"/>
    </row>
    <row r="143" spans="1:22">
      <c r="A143" s="16"/>
      <c r="B143" s="16"/>
      <c r="C143" s="16"/>
      <c r="D143" s="16"/>
      <c r="E143" s="16"/>
      <c r="F143" s="16"/>
      <c r="G143" s="16"/>
      <c r="H143" s="16"/>
      <c r="I143" s="16"/>
      <c r="J143" s="16"/>
      <c r="K143" s="16"/>
      <c r="L143" s="16"/>
      <c r="M143" s="16"/>
      <c r="N143" s="16"/>
      <c r="O143" s="16"/>
      <c r="P143" s="16"/>
      <c r="Q143" s="16"/>
      <c r="R143" s="16"/>
      <c r="S143" s="16"/>
      <c r="T143" s="16"/>
      <c r="U143" s="16"/>
      <c r="V143" s="16"/>
    </row>
    <row r="144" spans="1:22">
      <c r="A144" s="16"/>
      <c r="B144" s="16"/>
      <c r="C144" s="16"/>
      <c r="D144" s="16"/>
      <c r="E144" s="16"/>
      <c r="F144" s="16"/>
      <c r="G144" s="16"/>
      <c r="H144" s="16"/>
      <c r="I144" s="16"/>
      <c r="J144" s="16"/>
      <c r="K144" s="16"/>
      <c r="L144" s="16"/>
      <c r="M144" s="16"/>
      <c r="N144" s="16"/>
      <c r="O144" s="16"/>
      <c r="P144" s="16"/>
      <c r="Q144" s="16"/>
      <c r="R144" s="16"/>
      <c r="S144" s="16"/>
      <c r="T144" s="16"/>
      <c r="U144" s="16"/>
      <c r="V144" s="16"/>
    </row>
    <row r="145" spans="1:22">
      <c r="A145" s="16"/>
      <c r="B145" s="16"/>
      <c r="C145" s="16"/>
      <c r="D145" s="16"/>
      <c r="E145" s="16"/>
      <c r="F145" s="16"/>
      <c r="G145" s="16"/>
      <c r="H145" s="16"/>
      <c r="I145" s="16"/>
      <c r="J145" s="16"/>
      <c r="K145" s="16"/>
      <c r="L145" s="16"/>
      <c r="M145" s="16"/>
      <c r="N145" s="16"/>
      <c r="O145" s="16"/>
      <c r="P145" s="16"/>
      <c r="Q145" s="16"/>
      <c r="R145" s="16"/>
      <c r="S145" s="16"/>
      <c r="T145" s="16"/>
      <c r="U145" s="16"/>
      <c r="V145" s="16"/>
    </row>
    <row r="146" spans="1:22">
      <c r="A146" s="16"/>
      <c r="B146" s="16"/>
      <c r="C146" s="16"/>
      <c r="D146" s="16"/>
      <c r="E146" s="16"/>
      <c r="F146" s="16"/>
      <c r="G146" s="16"/>
      <c r="H146" s="16"/>
      <c r="I146" s="16"/>
      <c r="J146" s="16"/>
      <c r="K146" s="16"/>
      <c r="L146" s="16"/>
      <c r="M146" s="16"/>
      <c r="N146" s="16"/>
      <c r="O146" s="16"/>
      <c r="P146" s="16"/>
      <c r="Q146" s="16"/>
      <c r="R146" s="16"/>
      <c r="S146" s="16"/>
      <c r="T146" s="16"/>
      <c r="U146" s="16"/>
      <c r="V146" s="16"/>
    </row>
    <row r="147" spans="1:22">
      <c r="A147" s="16"/>
      <c r="B147" s="16"/>
      <c r="C147" s="16"/>
      <c r="D147" s="16"/>
      <c r="E147" s="16"/>
      <c r="F147" s="16"/>
      <c r="G147" s="16"/>
      <c r="H147" s="16"/>
      <c r="I147" s="16"/>
      <c r="J147" s="16"/>
      <c r="K147" s="16"/>
      <c r="L147" s="16"/>
      <c r="M147" s="16"/>
      <c r="N147" s="16"/>
      <c r="O147" s="16"/>
      <c r="P147" s="16"/>
      <c r="Q147" s="16"/>
      <c r="R147" s="16"/>
      <c r="S147" s="16"/>
      <c r="T147" s="16"/>
      <c r="U147" s="16"/>
      <c r="V147" s="16"/>
    </row>
    <row r="148" spans="1:22">
      <c r="A148" s="16"/>
      <c r="B148" s="16"/>
      <c r="C148" s="16"/>
      <c r="D148" s="16"/>
      <c r="E148" s="16"/>
      <c r="F148" s="16"/>
      <c r="G148" s="16"/>
      <c r="H148" s="16"/>
      <c r="I148" s="16"/>
      <c r="J148" s="16"/>
      <c r="K148" s="16"/>
      <c r="L148" s="16"/>
      <c r="M148" s="16"/>
      <c r="N148" s="16"/>
      <c r="O148" s="16"/>
      <c r="P148" s="16"/>
      <c r="Q148" s="16"/>
      <c r="R148" s="16"/>
      <c r="S148" s="16"/>
      <c r="T148" s="16"/>
      <c r="U148" s="16"/>
      <c r="V148" s="16"/>
    </row>
    <row r="149" spans="1:22">
      <c r="A149" s="16"/>
      <c r="B149" s="16"/>
      <c r="C149" s="16"/>
      <c r="D149" s="16"/>
      <c r="E149" s="16"/>
      <c r="F149" s="16"/>
      <c r="G149" s="16"/>
      <c r="H149" s="16"/>
      <c r="I149" s="16"/>
      <c r="J149" s="16"/>
      <c r="K149" s="16"/>
      <c r="L149" s="16"/>
      <c r="M149" s="16"/>
      <c r="N149" s="16"/>
      <c r="O149" s="16"/>
      <c r="P149" s="16"/>
      <c r="Q149" s="16"/>
      <c r="R149" s="16"/>
      <c r="S149" s="16"/>
      <c r="T149" s="16"/>
      <c r="U149" s="16"/>
      <c r="V149" s="16"/>
    </row>
    <row r="150" spans="1:22">
      <c r="A150" s="16"/>
      <c r="B150" s="16"/>
      <c r="C150" s="16"/>
      <c r="D150" s="16"/>
      <c r="E150" s="16"/>
      <c r="F150" s="16"/>
      <c r="G150" s="16"/>
      <c r="H150" s="16"/>
      <c r="I150" s="16"/>
      <c r="J150" s="16"/>
      <c r="K150" s="16"/>
      <c r="L150" s="16"/>
      <c r="M150" s="16"/>
      <c r="N150" s="16"/>
      <c r="O150" s="16"/>
      <c r="P150" s="16"/>
      <c r="Q150" s="16"/>
      <c r="R150" s="16"/>
      <c r="S150" s="16"/>
      <c r="T150" s="16"/>
      <c r="U150" s="16"/>
      <c r="V150" s="16"/>
    </row>
    <row r="151" spans="1:22">
      <c r="A151" s="16"/>
      <c r="B151" s="16"/>
      <c r="C151" s="16"/>
      <c r="D151" s="16"/>
      <c r="E151" s="16"/>
      <c r="F151" s="16"/>
      <c r="G151" s="16"/>
      <c r="H151" s="16"/>
      <c r="I151" s="16"/>
      <c r="J151" s="16"/>
      <c r="K151" s="16"/>
      <c r="L151" s="16"/>
      <c r="M151" s="16"/>
      <c r="N151" s="16"/>
      <c r="O151" s="16"/>
      <c r="P151" s="16"/>
      <c r="Q151" s="16"/>
      <c r="R151" s="16"/>
      <c r="S151" s="16"/>
      <c r="T151" s="16"/>
      <c r="U151" s="16"/>
      <c r="V151" s="16"/>
    </row>
  </sheetData>
  <mergeCells count="8">
    <mergeCell ref="B36:J37"/>
    <mergeCell ref="B29:G30"/>
    <mergeCell ref="A8:K8"/>
    <mergeCell ref="B11:H11"/>
    <mergeCell ref="A3:K3"/>
    <mergeCell ref="A4:K4"/>
    <mergeCell ref="A5:K5"/>
    <mergeCell ref="A6:K6"/>
  </mergeCells>
  <phoneticPr fontId="0" type="noConversion"/>
  <pageMargins left="0.26" right="1.28" top="1" bottom="1" header="0.75" footer="0.5"/>
  <pageSetup scale="83" orientation="landscape" r:id="rId1"/>
  <headerFooter alignWithMargins="0">
    <oddHeader>&amp;R&amp;"Arial,Bold"Formula Rate 
&amp;A
Page &amp;P of &amp;N</oddHeader>
  </headerFooter>
  <rowBreaks count="1" manualBreakCount="1">
    <brk id="102" max="17"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S75"/>
  <sheetViews>
    <sheetView topLeftCell="A16" zoomScale="75" workbookViewId="0">
      <selection activeCell="D34" sqref="D34"/>
    </sheetView>
  </sheetViews>
  <sheetFormatPr defaultRowHeight="15"/>
  <cols>
    <col min="1" max="1" width="10.42578125" style="33" customWidth="1"/>
    <col min="2" max="2" width="15.140625" style="8" customWidth="1"/>
    <col min="3" max="3" width="57.7109375" style="5" customWidth="1"/>
    <col min="4" max="4" width="15.7109375" style="5" customWidth="1"/>
    <col min="5" max="5" width="20.7109375" style="5" customWidth="1"/>
    <col min="6" max="6" width="17.28515625" style="5" customWidth="1"/>
    <col min="7" max="7" width="41.85546875" style="5" customWidth="1"/>
    <col min="8" max="8" width="13.85546875" style="5" customWidth="1"/>
    <col min="9" max="9" width="9.140625" style="5"/>
    <col min="10" max="10" width="12.42578125" style="5" bestFit="1" customWidth="1"/>
    <col min="11" max="11" width="13.28515625" style="5" customWidth="1"/>
    <col min="12" max="16384" width="9.140625" style="5"/>
  </cols>
  <sheetData>
    <row r="1" spans="1:11" ht="15.75">
      <c r="A1" s="730" t="s">
        <v>406</v>
      </c>
    </row>
    <row r="2" spans="1:11" ht="15.75">
      <c r="A2" s="730" t="s">
        <v>406</v>
      </c>
    </row>
    <row r="3" spans="1:11">
      <c r="A3" s="1148" t="str">
        <f>TCOS!$F$5</f>
        <v>AEPTCo subsidiaries in PJM</v>
      </c>
      <c r="B3" s="1148" t="str">
        <f>TCOS!$F$5</f>
        <v>AEPTCo subsidiaries in PJM</v>
      </c>
      <c r="C3" s="1148" t="str">
        <f>TCOS!$F$5</f>
        <v>AEPTCo subsidiaries in PJM</v>
      </c>
      <c r="D3" s="1148" t="str">
        <f>TCOS!$F$5</f>
        <v>AEPTCo subsidiaries in PJM</v>
      </c>
      <c r="E3" s="1148" t="str">
        <f>TCOS!$F$5</f>
        <v>AEPTCo subsidiaries in PJM</v>
      </c>
      <c r="F3" s="1148" t="str">
        <f>TCOS!$F$5</f>
        <v>AEPTCo subsidiaries in PJM</v>
      </c>
      <c r="G3" s="1148" t="str">
        <f>TCOS!$F$5</f>
        <v>AEPTCo subsidiaries in PJM</v>
      </c>
      <c r="H3" s="17"/>
    </row>
    <row r="4" spans="1:11" ht="12.75" customHeight="1">
      <c r="A4" s="1149" t="str">
        <f>"Cost of Service Formula Rate Using Actual/Projected FF1 Balances"</f>
        <v>Cost of Service Formula Rate Using Actual/Projected FF1 Balances</v>
      </c>
      <c r="B4" s="1149"/>
      <c r="C4" s="1149"/>
      <c r="D4" s="1149"/>
      <c r="E4" s="1149"/>
      <c r="F4" s="1149"/>
      <c r="G4" s="1149"/>
      <c r="H4" s="44"/>
      <c r="I4" s="44"/>
      <c r="J4" s="44"/>
      <c r="K4" s="44"/>
    </row>
    <row r="5" spans="1:11" ht="12.75" customHeight="1">
      <c r="A5" s="1149" t="s">
        <v>278</v>
      </c>
      <c r="B5" s="1149"/>
      <c r="C5" s="1149"/>
      <c r="D5" s="1149"/>
      <c r="E5" s="1149"/>
      <c r="F5" s="1149"/>
      <c r="G5" s="1149"/>
    </row>
    <row r="6" spans="1:11" ht="12.75" customHeight="1">
      <c r="A6" s="1159" t="str">
        <f>TCOS!F9</f>
        <v>AEP Ohio Transmission Company</v>
      </c>
      <c r="B6" s="1159"/>
      <c r="C6" s="1159"/>
      <c r="D6" s="1159"/>
      <c r="E6" s="1159"/>
      <c r="F6" s="1159"/>
      <c r="G6" s="1159"/>
    </row>
    <row r="7" spans="1:11" ht="12.75" customHeight="1">
      <c r="A7" s="1148"/>
      <c r="B7" s="1148"/>
      <c r="C7" s="1148"/>
      <c r="D7" s="1148"/>
      <c r="E7" s="1148"/>
      <c r="F7" s="1148"/>
      <c r="G7" s="21"/>
    </row>
    <row r="8" spans="1:11" ht="18">
      <c r="A8" s="1184"/>
      <c r="B8" s="1184"/>
      <c r="C8" s="1184"/>
      <c r="D8" s="1184"/>
      <c r="E8" s="1184"/>
      <c r="F8" s="1184"/>
      <c r="G8" s="1184"/>
    </row>
    <row r="9" spans="1:11" ht="18">
      <c r="A9" s="67"/>
      <c r="B9" s="67"/>
      <c r="C9" s="67"/>
      <c r="D9" s="67"/>
      <c r="E9" s="67"/>
      <c r="F9" s="67"/>
      <c r="G9" s="67"/>
    </row>
    <row r="10" spans="1:11" ht="15.75">
      <c r="B10" s="15" t="s">
        <v>452</v>
      </c>
      <c r="C10" s="15" t="s">
        <v>453</v>
      </c>
      <c r="D10" s="15" t="s">
        <v>454</v>
      </c>
      <c r="E10" s="15" t="s">
        <v>455</v>
      </c>
      <c r="F10" s="15" t="s">
        <v>375</v>
      </c>
      <c r="G10" s="15" t="s">
        <v>376</v>
      </c>
    </row>
    <row r="11" spans="1:11" ht="15.75">
      <c r="B11" s="25"/>
      <c r="C11" s="21"/>
      <c r="D11" s="77"/>
      <c r="E11" s="78"/>
      <c r="F11" s="79" t="s">
        <v>378</v>
      </c>
      <c r="G11" s="15"/>
    </row>
    <row r="12" spans="1:11" ht="15.75">
      <c r="A12" s="28" t="s">
        <v>459</v>
      </c>
      <c r="B12" s="25"/>
      <c r="C12" s="34"/>
      <c r="D12" s="28">
        <f>+TCOS!L4</f>
        <v>2026</v>
      </c>
      <c r="E12" s="79" t="s">
        <v>378</v>
      </c>
      <c r="F12" s="28" t="s">
        <v>407</v>
      </c>
      <c r="G12" s="15"/>
    </row>
    <row r="13" spans="1:11" ht="15.75">
      <c r="A13" s="28" t="s">
        <v>397</v>
      </c>
      <c r="B13" s="28" t="s">
        <v>360</v>
      </c>
      <c r="C13" s="28" t="s">
        <v>457</v>
      </c>
      <c r="D13" s="28" t="s">
        <v>361</v>
      </c>
      <c r="E13" s="28" t="s">
        <v>380</v>
      </c>
      <c r="F13" s="28" t="s">
        <v>362</v>
      </c>
      <c r="G13" s="28" t="s">
        <v>363</v>
      </c>
    </row>
    <row r="14" spans="1:11" ht="15.75">
      <c r="A14" s="27"/>
      <c r="B14" s="28"/>
      <c r="C14" s="28"/>
      <c r="D14" s="28"/>
      <c r="E14" s="28"/>
      <c r="F14" s="28"/>
      <c r="G14" s="28"/>
    </row>
    <row r="15" spans="1:11" ht="15.75">
      <c r="A15" s="27"/>
      <c r="B15" s="28"/>
      <c r="C15" s="28"/>
      <c r="D15" s="28"/>
      <c r="E15" s="28"/>
      <c r="F15" s="28"/>
      <c r="G15" s="28"/>
    </row>
    <row r="16" spans="1:11" ht="15.75">
      <c r="A16" s="27"/>
      <c r="B16" s="28"/>
      <c r="D16" s="28"/>
      <c r="E16" s="28"/>
      <c r="F16" s="28"/>
      <c r="G16" s="28"/>
    </row>
    <row r="17" spans="1:7" ht="15.75">
      <c r="A17" s="27"/>
      <c r="B17" s="28"/>
      <c r="C17" s="28" t="s">
        <v>284</v>
      </c>
      <c r="D17" s="19"/>
      <c r="E17" s="19"/>
      <c r="F17" s="19"/>
      <c r="G17" s="42"/>
    </row>
    <row r="18" spans="1:7">
      <c r="A18" s="27">
        <v>1</v>
      </c>
      <c r="B18" s="694"/>
      <c r="C18" s="395"/>
      <c r="D18" s="394"/>
      <c r="E18" s="40"/>
      <c r="F18" s="40"/>
      <c r="G18" s="18"/>
    </row>
    <row r="19" spans="1:7">
      <c r="A19" s="27">
        <f>+A18+1</f>
        <v>2</v>
      </c>
      <c r="B19" s="695"/>
      <c r="C19" s="696"/>
      <c r="D19" s="394"/>
      <c r="E19" s="40"/>
      <c r="F19" s="40"/>
      <c r="G19" s="18"/>
    </row>
    <row r="20" spans="1:7" ht="15.75">
      <c r="A20" s="27">
        <f>+A19+1</f>
        <v>3</v>
      </c>
      <c r="B20" s="697"/>
      <c r="C20" s="395"/>
      <c r="D20" s="394"/>
      <c r="E20" s="40"/>
      <c r="F20" s="40"/>
      <c r="G20" s="18"/>
    </row>
    <row r="21" spans="1:7" ht="15.75">
      <c r="A21" s="27">
        <f>+A20+1</f>
        <v>4</v>
      </c>
      <c r="B21" s="28"/>
      <c r="C21" s="91" t="s">
        <v>410</v>
      </c>
      <c r="D21" s="35">
        <f>SUM(D18:D20)</f>
        <v>0</v>
      </c>
      <c r="E21" s="40"/>
      <c r="F21" s="40"/>
      <c r="G21" s="28"/>
    </row>
    <row r="22" spans="1:7" ht="15.75">
      <c r="A22" s="27"/>
      <c r="B22" s="28"/>
      <c r="C22" s="91"/>
      <c r="D22" s="97"/>
      <c r="E22" s="19"/>
      <c r="F22" s="19"/>
      <c r="G22" s="28"/>
    </row>
    <row r="23" spans="1:7" ht="15.75">
      <c r="A23" s="7"/>
      <c r="B23" s="28"/>
      <c r="C23" s="28" t="s">
        <v>191</v>
      </c>
      <c r="D23" s="103"/>
      <c r="E23" s="19"/>
      <c r="F23" s="19"/>
      <c r="G23" s="28"/>
    </row>
    <row r="24" spans="1:7" ht="15.75">
      <c r="A24" s="27">
        <f>+A21+1</f>
        <v>5</v>
      </c>
      <c r="B24" s="7"/>
      <c r="C24" s="109"/>
      <c r="D24" s="913"/>
      <c r="E24" s="19"/>
      <c r="F24" s="19"/>
      <c r="G24" s="28"/>
    </row>
    <row r="25" spans="1:7" ht="15.75">
      <c r="A25" s="110">
        <f>+A24+1</f>
        <v>6</v>
      </c>
      <c r="B25" s="7" t="s">
        <v>177</v>
      </c>
      <c r="C25" s="7" t="s">
        <v>174</v>
      </c>
      <c r="D25" s="394">
        <v>0</v>
      </c>
      <c r="E25" s="19"/>
      <c r="F25" s="19"/>
      <c r="G25" s="28"/>
    </row>
    <row r="26" spans="1:7" ht="15.75">
      <c r="A26" s="27">
        <f>+A25+1</f>
        <v>7</v>
      </c>
      <c r="B26" s="109" t="s">
        <v>178</v>
      </c>
      <c r="C26" s="109" t="s">
        <v>175</v>
      </c>
      <c r="D26" s="394">
        <v>985257.7860958043</v>
      </c>
      <c r="E26" s="19"/>
      <c r="F26" s="19"/>
      <c r="G26" s="28"/>
    </row>
    <row r="27" spans="1:7" ht="15.75">
      <c r="A27" s="110">
        <f t="shared" ref="A27:A32" si="0">+A26+1</f>
        <v>8</v>
      </c>
      <c r="B27" s="7" t="s">
        <v>179</v>
      </c>
      <c r="C27" s="7" t="s">
        <v>176</v>
      </c>
      <c r="D27" s="394">
        <v>6336.9807564353341</v>
      </c>
      <c r="E27" s="19"/>
      <c r="F27" s="19"/>
      <c r="G27" s="28"/>
    </row>
    <row r="28" spans="1:7" ht="15.75">
      <c r="A28" s="27">
        <f t="shared" si="0"/>
        <v>9</v>
      </c>
      <c r="B28" s="109" t="s">
        <v>180</v>
      </c>
      <c r="C28" s="109" t="s">
        <v>184</v>
      </c>
      <c r="D28" s="394">
        <v>0</v>
      </c>
      <c r="E28" s="19"/>
      <c r="F28" s="19"/>
      <c r="G28" s="28"/>
    </row>
    <row r="29" spans="1:7" ht="15.75">
      <c r="A29" s="110">
        <f t="shared" si="0"/>
        <v>10</v>
      </c>
      <c r="B29" s="7" t="s">
        <v>181</v>
      </c>
      <c r="C29" s="7" t="s">
        <v>187</v>
      </c>
      <c r="D29" s="394">
        <v>638540.94806182478</v>
      </c>
      <c r="E29" s="19"/>
      <c r="F29" s="19"/>
      <c r="G29" s="28"/>
    </row>
    <row r="30" spans="1:7" ht="15.75">
      <c r="A30" s="27">
        <f t="shared" si="0"/>
        <v>11</v>
      </c>
      <c r="B30" s="109" t="s">
        <v>182</v>
      </c>
      <c r="C30" s="109" t="s">
        <v>188</v>
      </c>
      <c r="D30" s="394">
        <v>0</v>
      </c>
      <c r="E30" s="19"/>
      <c r="F30" s="19"/>
      <c r="G30" s="28"/>
    </row>
    <row r="31" spans="1:7" ht="15.75">
      <c r="A31" s="110">
        <f t="shared" si="0"/>
        <v>12</v>
      </c>
      <c r="B31" s="7" t="s">
        <v>183</v>
      </c>
      <c r="C31" s="7" t="s">
        <v>189</v>
      </c>
      <c r="D31" s="394">
        <v>0</v>
      </c>
      <c r="E31" s="19"/>
      <c r="F31" s="19"/>
      <c r="G31" s="28"/>
    </row>
    <row r="32" spans="1:7" ht="15.75">
      <c r="A32" s="27">
        <f t="shared" si="0"/>
        <v>13</v>
      </c>
      <c r="B32" s="109" t="s">
        <v>185</v>
      </c>
      <c r="C32" s="109" t="s">
        <v>190</v>
      </c>
      <c r="D32" s="394">
        <v>0</v>
      </c>
      <c r="E32" s="19"/>
      <c r="F32" s="19"/>
      <c r="G32" s="28"/>
    </row>
    <row r="33" spans="1:19" ht="15.75">
      <c r="A33" s="110">
        <f>+A32+1</f>
        <v>14</v>
      </c>
      <c r="B33" s="7"/>
      <c r="C33" s="15" t="s">
        <v>186</v>
      </c>
      <c r="D33" s="35">
        <f>SUM(D24:D32)</f>
        <v>1630135.7149140644</v>
      </c>
      <c r="E33" s="28"/>
      <c r="F33" s="28"/>
      <c r="G33" s="28"/>
    </row>
    <row r="34" spans="1:19" ht="15.75">
      <c r="A34" s="90"/>
      <c r="B34" s="39"/>
      <c r="C34" s="28"/>
      <c r="D34" s="28"/>
      <c r="E34" s="28"/>
      <c r="F34" s="28"/>
      <c r="G34" s="28"/>
    </row>
    <row r="35" spans="1:19" ht="15.75">
      <c r="A35" s="90"/>
      <c r="B35" s="27"/>
      <c r="C35" s="46" t="s">
        <v>494</v>
      </c>
      <c r="D35" s="21"/>
      <c r="E35" s="21"/>
      <c r="F35" s="21"/>
      <c r="G35" s="21"/>
    </row>
    <row r="36" spans="1:19">
      <c r="A36" s="27">
        <f>+A33+1</f>
        <v>15</v>
      </c>
      <c r="B36" s="694" t="s">
        <v>937</v>
      </c>
      <c r="C36" s="395" t="s">
        <v>938</v>
      </c>
      <c r="D36" s="394">
        <v>1866.650916466228</v>
      </c>
      <c r="E36" s="913">
        <v>1866.650916466228</v>
      </c>
      <c r="F36" s="913">
        <v>0</v>
      </c>
      <c r="G36" s="18"/>
    </row>
    <row r="37" spans="1:19">
      <c r="A37" s="27">
        <f>+A36+1</f>
        <v>16</v>
      </c>
      <c r="B37" s="694" t="s">
        <v>939</v>
      </c>
      <c r="C37" s="395" t="s">
        <v>940</v>
      </c>
      <c r="D37" s="394">
        <v>29.943715580850881</v>
      </c>
      <c r="E37" s="913">
        <v>29.943715580850881</v>
      </c>
      <c r="F37" s="913">
        <v>0</v>
      </c>
      <c r="G37" s="18"/>
    </row>
    <row r="38" spans="1:19">
      <c r="A38" s="27">
        <f>+A37+1</f>
        <v>17</v>
      </c>
      <c r="B38" s="694" t="s">
        <v>941</v>
      </c>
      <c r="C38" s="395" t="s">
        <v>942</v>
      </c>
      <c r="D38" s="394">
        <v>73339.962278600695</v>
      </c>
      <c r="E38" s="913">
        <v>73339.962278600695</v>
      </c>
      <c r="F38" s="913">
        <v>0</v>
      </c>
      <c r="G38" s="18"/>
    </row>
    <row r="39" spans="1:19">
      <c r="A39" s="27">
        <f>+A38+1</f>
        <v>18</v>
      </c>
      <c r="B39" s="694" t="s">
        <v>943</v>
      </c>
      <c r="C39" s="395" t="s">
        <v>944</v>
      </c>
      <c r="D39" s="394">
        <v>186109.37701388256</v>
      </c>
      <c r="E39" s="913">
        <v>0</v>
      </c>
      <c r="F39" s="913">
        <v>186109.37701388256</v>
      </c>
      <c r="G39" s="42"/>
    </row>
    <row r="40" spans="1:19">
      <c r="A40" s="27">
        <f>+A39+1</f>
        <v>19</v>
      </c>
      <c r="B40" s="694" t="s">
        <v>945</v>
      </c>
      <c r="C40" s="395" t="s">
        <v>946</v>
      </c>
      <c r="D40" s="394">
        <v>1521755.8029059891</v>
      </c>
      <c r="E40" s="913">
        <v>1521755.8029059891</v>
      </c>
      <c r="F40" s="913">
        <v>0</v>
      </c>
      <c r="G40" s="42"/>
    </row>
    <row r="41" spans="1:19">
      <c r="A41" s="27">
        <f>+A40+1</f>
        <v>20</v>
      </c>
      <c r="B41" s="694"/>
      <c r="C41" s="395"/>
      <c r="D41" s="394"/>
      <c r="E41" s="19">
        <f t="shared" ref="E41" si="1">+D41</f>
        <v>0</v>
      </c>
      <c r="F41" s="19">
        <v>0</v>
      </c>
      <c r="G41" s="42"/>
    </row>
    <row r="42" spans="1:19">
      <c r="A42" s="27"/>
      <c r="B42" s="2"/>
      <c r="C42" s="37"/>
      <c r="D42" s="19"/>
      <c r="E42" s="19"/>
      <c r="F42" s="19"/>
      <c r="G42" s="18"/>
    </row>
    <row r="43" spans="1:19" ht="12.75" customHeight="1">
      <c r="A43" s="27"/>
      <c r="B43" s="20" t="s">
        <v>406</v>
      </c>
      <c r="C43" s="37"/>
      <c r="D43" s="22"/>
      <c r="E43" s="23"/>
      <c r="F43" s="24"/>
      <c r="G43" s="21"/>
    </row>
    <row r="44" spans="1:19" ht="15.75" customHeight="1">
      <c r="A44" s="27">
        <f>+A41+1</f>
        <v>21</v>
      </c>
      <c r="B44" s="25"/>
      <c r="C44" s="914" t="s">
        <v>625</v>
      </c>
      <c r="D44" s="35">
        <f>SUM(D36:D42)</f>
        <v>1783101.7368305195</v>
      </c>
      <c r="E44" s="35">
        <f>SUM(E36:E42)</f>
        <v>1596992.3598166369</v>
      </c>
      <c r="F44" s="35">
        <f>SUM(F36:F42)</f>
        <v>186109.37701388256</v>
      </c>
      <c r="G44" s="10"/>
    </row>
    <row r="45" spans="1:19" ht="12.75" customHeight="1">
      <c r="A45" s="27"/>
      <c r="B45" s="25"/>
      <c r="C45" s="26"/>
      <c r="D45" s="38"/>
      <c r="E45" s="12"/>
      <c r="F45" s="12"/>
      <c r="G45" s="21"/>
    </row>
    <row r="46" spans="1:19" ht="15.75">
      <c r="A46" s="27"/>
      <c r="B46" s="27"/>
      <c r="C46" s="46" t="s">
        <v>493</v>
      </c>
      <c r="D46" s="12"/>
      <c r="E46" s="12"/>
      <c r="F46" s="12"/>
      <c r="G46" s="21"/>
    </row>
    <row r="47" spans="1:19">
      <c r="A47" s="27">
        <f>+A44+1</f>
        <v>22</v>
      </c>
      <c r="B47" s="694" t="s">
        <v>947</v>
      </c>
      <c r="C47" s="395" t="s">
        <v>948</v>
      </c>
      <c r="D47" s="396">
        <v>0</v>
      </c>
      <c r="E47" s="396">
        <v>0</v>
      </c>
      <c r="F47" s="396">
        <v>0</v>
      </c>
      <c r="G47"/>
      <c r="M47" s="9"/>
      <c r="N47" s="9"/>
      <c r="O47" s="11"/>
      <c r="P47" s="11"/>
      <c r="Q47" s="11"/>
      <c r="R47" s="11"/>
      <c r="S47" s="11"/>
    </row>
    <row r="48" spans="1:19">
      <c r="A48" s="27">
        <f>+A47+1</f>
        <v>23</v>
      </c>
      <c r="B48" s="694" t="s">
        <v>949</v>
      </c>
      <c r="C48" s="395" t="s">
        <v>950</v>
      </c>
      <c r="D48" s="396">
        <v>0</v>
      </c>
      <c r="E48" s="396">
        <v>0</v>
      </c>
      <c r="F48" s="396">
        <v>0</v>
      </c>
      <c r="G48"/>
      <c r="M48" s="9"/>
      <c r="N48" s="9"/>
      <c r="O48" s="11"/>
      <c r="P48" s="11"/>
      <c r="Q48" s="11"/>
      <c r="R48" s="11"/>
      <c r="S48" s="11"/>
    </row>
    <row r="49" spans="1:19">
      <c r="A49" s="27">
        <f t="shared" ref="A49:A62" si="2">+A48+1</f>
        <v>24</v>
      </c>
      <c r="B49" s="694" t="s">
        <v>951</v>
      </c>
      <c r="C49" s="395" t="s">
        <v>952</v>
      </c>
      <c r="D49" s="396">
        <v>0</v>
      </c>
      <c r="E49" s="396">
        <v>0</v>
      </c>
      <c r="F49" s="396">
        <v>0</v>
      </c>
      <c r="G49"/>
      <c r="M49" s="9"/>
      <c r="N49" s="9"/>
      <c r="O49" s="11"/>
      <c r="P49" s="11"/>
      <c r="Q49" s="11"/>
      <c r="R49" s="11"/>
      <c r="S49" s="11"/>
    </row>
    <row r="50" spans="1:19">
      <c r="A50" s="27">
        <f t="shared" si="2"/>
        <v>25</v>
      </c>
      <c r="B50" s="694" t="s">
        <v>953</v>
      </c>
      <c r="C50" s="395" t="s">
        <v>954</v>
      </c>
      <c r="D50" s="396">
        <v>0</v>
      </c>
      <c r="E50" s="396">
        <v>0</v>
      </c>
      <c r="F50" s="396">
        <v>0</v>
      </c>
      <c r="G50"/>
      <c r="M50" s="9"/>
      <c r="N50" s="9"/>
      <c r="O50" s="11"/>
      <c r="P50" s="11"/>
      <c r="Q50" s="11"/>
      <c r="R50" s="11"/>
      <c r="S50" s="11"/>
    </row>
    <row r="51" spans="1:19">
      <c r="A51" s="27">
        <f t="shared" si="2"/>
        <v>26</v>
      </c>
      <c r="B51" s="694" t="s">
        <v>955</v>
      </c>
      <c r="C51" s="395" t="s">
        <v>956</v>
      </c>
      <c r="D51" s="396">
        <v>0</v>
      </c>
      <c r="E51" s="396">
        <v>0</v>
      </c>
      <c r="F51" s="396">
        <v>0</v>
      </c>
      <c r="G51"/>
      <c r="M51" s="9"/>
      <c r="N51" s="9"/>
      <c r="O51" s="11"/>
      <c r="P51" s="11"/>
      <c r="Q51" s="11"/>
      <c r="R51" s="11"/>
      <c r="S51" s="11"/>
    </row>
    <row r="52" spans="1:19">
      <c r="A52" s="27">
        <f t="shared" si="2"/>
        <v>27</v>
      </c>
      <c r="B52" s="694" t="s">
        <v>957</v>
      </c>
      <c r="C52" s="395" t="s">
        <v>958</v>
      </c>
      <c r="D52" s="396">
        <v>0</v>
      </c>
      <c r="E52" s="396">
        <v>0</v>
      </c>
      <c r="F52" s="396">
        <v>0</v>
      </c>
      <c r="G52"/>
      <c r="M52" s="9"/>
      <c r="N52" s="9"/>
      <c r="O52" s="11"/>
      <c r="P52" s="11"/>
      <c r="Q52" s="11"/>
      <c r="R52" s="11"/>
      <c r="S52" s="11"/>
    </row>
    <row r="53" spans="1:19">
      <c r="A53" s="27">
        <f t="shared" si="2"/>
        <v>28</v>
      </c>
      <c r="B53" s="694"/>
      <c r="C53" s="395"/>
      <c r="D53" s="396"/>
      <c r="E53" s="396"/>
      <c r="F53" s="396"/>
      <c r="G53"/>
      <c r="M53" s="9"/>
      <c r="N53" s="9"/>
      <c r="O53" s="11"/>
      <c r="P53" s="11"/>
      <c r="Q53" s="11"/>
      <c r="R53" s="11"/>
      <c r="S53" s="11"/>
    </row>
    <row r="54" spans="1:19">
      <c r="A54" s="27">
        <f t="shared" si="2"/>
        <v>29</v>
      </c>
      <c r="B54" s="694"/>
      <c r="C54" s="395"/>
      <c r="D54" s="396"/>
      <c r="E54" s="19"/>
      <c r="F54" s="19"/>
      <c r="G54"/>
      <c r="M54" s="9"/>
      <c r="N54" s="9"/>
      <c r="O54" s="11"/>
      <c r="P54" s="11"/>
      <c r="Q54" s="11"/>
      <c r="R54" s="11"/>
      <c r="S54" s="11"/>
    </row>
    <row r="55" spans="1:19">
      <c r="A55" s="27">
        <f t="shared" si="2"/>
        <v>30</v>
      </c>
      <c r="B55" s="694"/>
      <c r="C55" s="395"/>
      <c r="D55" s="396"/>
      <c r="E55" s="19"/>
      <c r="F55" s="19"/>
      <c r="G55"/>
      <c r="M55" s="9"/>
      <c r="N55" s="9"/>
      <c r="O55" s="11"/>
      <c r="P55" s="11"/>
      <c r="Q55" s="11"/>
      <c r="R55" s="11"/>
      <c r="S55" s="11"/>
    </row>
    <row r="56" spans="1:19">
      <c r="A56" s="27">
        <f t="shared" si="2"/>
        <v>31</v>
      </c>
      <c r="B56" s="694"/>
      <c r="C56" s="395"/>
      <c r="D56" s="396"/>
      <c r="E56" s="19"/>
      <c r="F56" s="19"/>
      <c r="G56"/>
      <c r="M56" s="9"/>
      <c r="N56" s="9"/>
      <c r="O56" s="11"/>
      <c r="P56" s="11"/>
      <c r="Q56" s="11"/>
      <c r="R56" s="11"/>
      <c r="S56" s="11"/>
    </row>
    <row r="57" spans="1:19">
      <c r="A57" s="27">
        <f t="shared" si="2"/>
        <v>32</v>
      </c>
      <c r="B57" s="694"/>
      <c r="C57" s="395"/>
      <c r="D57" s="396"/>
      <c r="E57" s="19"/>
      <c r="F57" s="22"/>
      <c r="G57"/>
      <c r="M57" s="9"/>
      <c r="N57" s="9"/>
      <c r="O57" s="11"/>
      <c r="P57" s="11"/>
      <c r="Q57" s="11"/>
      <c r="R57" s="11"/>
      <c r="S57" s="11"/>
    </row>
    <row r="58" spans="1:19">
      <c r="A58" s="27">
        <f t="shared" si="2"/>
        <v>33</v>
      </c>
      <c r="B58" s="694"/>
      <c r="C58" s="395"/>
      <c r="D58" s="396"/>
      <c r="E58" s="19"/>
      <c r="F58" s="22"/>
      <c r="G58"/>
    </row>
    <row r="59" spans="1:19">
      <c r="A59" s="27">
        <f t="shared" si="2"/>
        <v>34</v>
      </c>
      <c r="B59" s="694"/>
      <c r="C59" s="395"/>
      <c r="D59" s="396"/>
      <c r="E59" s="19"/>
      <c r="F59" s="22"/>
      <c r="G59" s="21"/>
    </row>
    <row r="60" spans="1:19">
      <c r="A60" s="27">
        <f t="shared" si="2"/>
        <v>35</v>
      </c>
      <c r="B60" s="694"/>
      <c r="C60" s="395"/>
      <c r="D60" s="396"/>
      <c r="E60" s="19"/>
      <c r="F60" s="22"/>
      <c r="G60" s="21"/>
    </row>
    <row r="61" spans="1:19">
      <c r="A61" s="27">
        <f t="shared" si="2"/>
        <v>36</v>
      </c>
      <c r="B61" s="694"/>
      <c r="C61" s="395"/>
      <c r="D61" s="396"/>
      <c r="E61" s="19"/>
      <c r="F61" s="22"/>
      <c r="G61" s="21"/>
    </row>
    <row r="62" spans="1:19">
      <c r="A62" s="27">
        <f t="shared" si="2"/>
        <v>37</v>
      </c>
      <c r="B62" s="694"/>
      <c r="C62" s="395"/>
      <c r="D62" s="396"/>
      <c r="E62" s="19"/>
      <c r="F62" s="22"/>
      <c r="G62" s="21"/>
    </row>
    <row r="63" spans="1:19">
      <c r="A63" s="27"/>
      <c r="B63" s="20"/>
      <c r="C63" s="21"/>
      <c r="D63" s="29"/>
      <c r="E63" s="30"/>
      <c r="F63" s="29"/>
      <c r="G63" s="21"/>
    </row>
    <row r="64" spans="1:19" ht="15.75">
      <c r="A64" s="27">
        <f>+A62+1</f>
        <v>38</v>
      </c>
      <c r="B64" s="25"/>
      <c r="C64" s="914" t="s">
        <v>626</v>
      </c>
      <c r="D64" s="31">
        <f>SUM(D47:D63)</f>
        <v>0</v>
      </c>
      <c r="E64" s="31">
        <f>SUM(E47:E63)</f>
        <v>0</v>
      </c>
      <c r="F64" s="31">
        <f>SUM(F47:F63)</f>
        <v>0</v>
      </c>
      <c r="G64" s="10"/>
    </row>
    <row r="65" spans="1:11" ht="12.75" customHeight="1">
      <c r="A65" s="27"/>
      <c r="B65" s="16"/>
      <c r="C65" s="16"/>
      <c r="D65" s="16"/>
      <c r="E65" s="16"/>
      <c r="F65" s="16"/>
      <c r="G65" s="16"/>
    </row>
    <row r="66" spans="1:11" ht="15.75">
      <c r="A66" s="27"/>
      <c r="B66" s="15"/>
      <c r="C66" s="46" t="s">
        <v>492</v>
      </c>
      <c r="D66" s="32"/>
      <c r="E66" s="32"/>
      <c r="F66" s="32"/>
      <c r="G66" s="15"/>
    </row>
    <row r="67" spans="1:11">
      <c r="A67" s="27">
        <f>+A64+1</f>
        <v>39</v>
      </c>
      <c r="B67" s="953">
        <v>9302000</v>
      </c>
      <c r="C67" s="395" t="s">
        <v>796</v>
      </c>
      <c r="D67" s="396">
        <v>127882.12384797496</v>
      </c>
      <c r="E67" s="19">
        <f>D67</f>
        <v>127882.12384797496</v>
      </c>
      <c r="F67" s="22">
        <v>0</v>
      </c>
      <c r="G67" s="9"/>
      <c r="H67" s="9"/>
      <c r="J67" s="11"/>
      <c r="K67" s="11"/>
    </row>
    <row r="68" spans="1:11">
      <c r="A68" s="27">
        <f>+A67+1</f>
        <v>40</v>
      </c>
      <c r="B68" s="953">
        <v>9302003</v>
      </c>
      <c r="C68" s="395" t="s">
        <v>797</v>
      </c>
      <c r="D68" s="396">
        <v>74937.015580176259</v>
      </c>
      <c r="E68" s="19">
        <f>D68</f>
        <v>74937.015580176259</v>
      </c>
      <c r="F68" s="22">
        <v>0</v>
      </c>
      <c r="G68" s="9"/>
      <c r="H68" s="9"/>
      <c r="J68" s="11"/>
      <c r="K68" s="11"/>
    </row>
    <row r="69" spans="1:11">
      <c r="A69" s="27">
        <f>+A68+1</f>
        <v>41</v>
      </c>
      <c r="B69" s="953">
        <v>9302004</v>
      </c>
      <c r="C69" s="395" t="s">
        <v>936</v>
      </c>
      <c r="D69" s="396">
        <v>763.83879177205949</v>
      </c>
      <c r="E69" s="19">
        <f>D69</f>
        <v>763.83879177205949</v>
      </c>
      <c r="F69" s="22"/>
      <c r="G69" s="9"/>
      <c r="H69" s="9"/>
      <c r="J69" s="11"/>
      <c r="K69" s="11"/>
    </row>
    <row r="70" spans="1:11">
      <c r="A70" s="27">
        <f>+A69+1</f>
        <v>42</v>
      </c>
      <c r="B70" s="953">
        <v>9302007</v>
      </c>
      <c r="C70" s="395" t="s">
        <v>798</v>
      </c>
      <c r="D70" s="396">
        <v>18255.227925005394</v>
      </c>
      <c r="E70" s="19">
        <f>D70-F70</f>
        <v>0</v>
      </c>
      <c r="F70" s="22">
        <f>D70</f>
        <v>18255.227925005394</v>
      </c>
      <c r="G70" s="16"/>
    </row>
    <row r="71" spans="1:11">
      <c r="A71" s="27"/>
      <c r="B71" s="16"/>
      <c r="C71" s="16"/>
      <c r="D71" s="16"/>
      <c r="E71" s="16"/>
      <c r="F71" s="16"/>
      <c r="G71" s="16"/>
    </row>
    <row r="72" spans="1:11" ht="15.75">
      <c r="A72" s="27">
        <f>+A70+1</f>
        <v>43</v>
      </c>
      <c r="B72" s="16"/>
      <c r="C72" s="914" t="s">
        <v>627</v>
      </c>
      <c r="D72" s="31">
        <f>SUM(D67:D71)</f>
        <v>221838.20614492867</v>
      </c>
      <c r="E72" s="31">
        <f>SUM(E67:E71)</f>
        <v>203582.97821992327</v>
      </c>
      <c r="F72" s="31">
        <f>SUM(F67:F71)</f>
        <v>18255.227925005394</v>
      </c>
      <c r="G72" s="10"/>
    </row>
    <row r="73" spans="1:11">
      <c r="A73" s="27"/>
      <c r="B73" s="41"/>
      <c r="C73"/>
      <c r="D73"/>
      <c r="E73"/>
      <c r="F73"/>
      <c r="G73"/>
    </row>
    <row r="74" spans="1:11" ht="12.75">
      <c r="A74" s="41"/>
      <c r="B74"/>
      <c r="C74"/>
      <c r="D74"/>
      <c r="E74"/>
      <c r="F74"/>
    </row>
    <row r="75" spans="1:11" ht="12.75">
      <c r="A75" s="41"/>
      <c r="B75"/>
      <c r="C75"/>
      <c r="D75"/>
      <c r="E75"/>
      <c r="F75"/>
    </row>
  </sheetData>
  <mergeCells count="6">
    <mergeCell ref="A3:G3"/>
    <mergeCell ref="A8:G8"/>
    <mergeCell ref="A7:F7"/>
    <mergeCell ref="A4:G4"/>
    <mergeCell ref="A5:G5"/>
    <mergeCell ref="A6:G6"/>
  </mergeCells>
  <phoneticPr fontId="0" type="noConversion"/>
  <pageMargins left="1.27" right="1.28" top="0.8" bottom="0.67" header="0.75" footer="0.4"/>
  <pageSetup scale="47" orientation="landscape"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O241"/>
  <sheetViews>
    <sheetView zoomScaleNormal="100" workbookViewId="0">
      <selection activeCell="E11" sqref="E11"/>
    </sheetView>
  </sheetViews>
  <sheetFormatPr defaultColWidth="8.85546875"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28515625" bestFit="1" customWidth="1"/>
  </cols>
  <sheetData>
    <row r="1" spans="1:15" ht="15.75">
      <c r="A1" s="730" t="s">
        <v>406</v>
      </c>
    </row>
    <row r="2" spans="1:15" ht="15.75">
      <c r="A2" s="730" t="s">
        <v>406</v>
      </c>
    </row>
    <row r="3" spans="1:15" ht="15">
      <c r="A3" s="1148" t="str">
        <f>TCOS!$F$5</f>
        <v>AEPTCo subsidiaries in PJM</v>
      </c>
      <c r="B3" s="1148" t="str">
        <f>TCOS!$F$5</f>
        <v>AEPTCo subsidiaries in PJM</v>
      </c>
      <c r="C3" s="1148" t="str">
        <f>TCOS!$F$5</f>
        <v>AEPTCo subsidiaries in PJM</v>
      </c>
      <c r="D3" s="1148" t="str">
        <f>TCOS!$F$5</f>
        <v>AEPTCo subsidiaries in PJM</v>
      </c>
      <c r="E3" s="1148" t="str">
        <f>TCOS!$F$5</f>
        <v>AEPTCo subsidiaries in PJM</v>
      </c>
      <c r="F3" s="1148" t="str">
        <f>TCOS!$F$5</f>
        <v>AEPTCo subsidiaries in PJM</v>
      </c>
      <c r="G3" s="1148" t="str">
        <f>TCOS!$F$5</f>
        <v>AEPTCo subsidiaries in PJM</v>
      </c>
      <c r="H3" s="1148" t="str">
        <f>TCOS!$F$5</f>
        <v>AEPTCo subsidiaries in PJM</v>
      </c>
    </row>
    <row r="4" spans="1:15" ht="15">
      <c r="A4" s="1149" t="str">
        <f>"Cost of Service Formula Rate Using Actual/Projected FF1 Balances"</f>
        <v>Cost of Service Formula Rate Using Actual/Projected FF1 Balances</v>
      </c>
      <c r="B4" s="1149"/>
      <c r="C4" s="1149"/>
      <c r="D4" s="1149"/>
      <c r="E4" s="1149"/>
      <c r="F4" s="1149"/>
      <c r="G4" s="1149"/>
      <c r="H4" s="1149"/>
    </row>
    <row r="5" spans="1:15" ht="15">
      <c r="A5" s="1149" t="s">
        <v>328</v>
      </c>
      <c r="B5" s="1149"/>
      <c r="C5" s="1149"/>
      <c r="D5" s="1149"/>
      <c r="E5" s="1149"/>
      <c r="F5" s="1149"/>
      <c r="G5" s="1149"/>
      <c r="H5" s="1149"/>
    </row>
    <row r="6" spans="1:15" ht="15">
      <c r="A6" s="1159" t="str">
        <f>TCOS!F9</f>
        <v>AEP Ohio Transmission Company</v>
      </c>
      <c r="B6" s="1159"/>
      <c r="C6" s="1159"/>
      <c r="D6" s="1159"/>
      <c r="E6" s="1159"/>
      <c r="F6" s="1159"/>
      <c r="G6" s="1159"/>
    </row>
    <row r="7" spans="1:15" ht="12.75" customHeight="1">
      <c r="A7" s="6"/>
      <c r="B7" s="397"/>
      <c r="C7" s="397"/>
      <c r="D7" s="397"/>
      <c r="E7" s="397"/>
      <c r="F7" s="397"/>
      <c r="G7" s="397"/>
      <c r="H7" s="397"/>
      <c r="I7" s="397"/>
      <c r="J7" s="397"/>
      <c r="O7" s="398"/>
    </row>
    <row r="8" spans="1:15" ht="12.75" customHeight="1">
      <c r="A8" s="6"/>
      <c r="B8" s="17"/>
      <c r="C8" s="132"/>
      <c r="D8" s="132"/>
      <c r="E8" s="132"/>
      <c r="F8" s="132"/>
    </row>
    <row r="9" spans="1:15" ht="15">
      <c r="A9" s="399">
        <v>1</v>
      </c>
      <c r="B9" s="408" t="s">
        <v>827</v>
      </c>
      <c r="C9" s="400"/>
      <c r="D9" s="401"/>
      <c r="E9" s="406">
        <v>1.89E-2</v>
      </c>
      <c r="F9" s="132"/>
      <c r="G9" s="402"/>
      <c r="H9" s="402"/>
      <c r="L9" s="1"/>
    </row>
    <row r="10" spans="1:15" ht="15">
      <c r="A10" s="1"/>
      <c r="B10" s="132" t="s">
        <v>612</v>
      </c>
      <c r="C10" s="400"/>
      <c r="D10" s="400"/>
      <c r="E10" s="407">
        <v>0.12790000000000001</v>
      </c>
      <c r="F10" s="132"/>
      <c r="G10" s="402"/>
      <c r="H10" s="402"/>
      <c r="L10" s="1"/>
    </row>
    <row r="11" spans="1:15" ht="15">
      <c r="A11" s="1"/>
      <c r="B11" s="132" t="s">
        <v>228</v>
      </c>
      <c r="C11" s="400"/>
      <c r="D11" s="400"/>
      <c r="E11" s="132"/>
      <c r="F11" s="403">
        <f>ROUND(E9*E10,4)</f>
        <v>2.3999999999999998E-3</v>
      </c>
      <c r="G11" s="402"/>
      <c r="L11" s="1"/>
    </row>
    <row r="12" spans="1:15" ht="15">
      <c r="A12" s="1"/>
      <c r="B12" s="132"/>
      <c r="C12" s="400"/>
      <c r="D12" s="400"/>
      <c r="E12" s="132"/>
      <c r="F12" s="403"/>
      <c r="G12" s="402"/>
      <c r="L12" s="1"/>
    </row>
    <row r="13" spans="1:15" ht="15">
      <c r="A13" s="1">
        <f>A9+1</f>
        <v>2</v>
      </c>
      <c r="B13" s="408" t="s">
        <v>105</v>
      </c>
      <c r="C13" s="400"/>
      <c r="D13" s="401"/>
      <c r="E13" s="406"/>
      <c r="F13" s="132"/>
      <c r="G13" s="402"/>
      <c r="L13" s="1"/>
    </row>
    <row r="14" spans="1:15" ht="15">
      <c r="A14" s="1"/>
      <c r="B14" s="132" t="s">
        <v>612</v>
      </c>
      <c r="C14" s="400"/>
      <c r="D14" s="400"/>
      <c r="E14" s="407"/>
      <c r="F14" s="132"/>
      <c r="G14" s="402"/>
      <c r="L14" s="1"/>
    </row>
    <row r="15" spans="1:15" ht="15">
      <c r="A15" s="1"/>
      <c r="B15" s="132" t="s">
        <v>228</v>
      </c>
      <c r="C15" s="400"/>
      <c r="D15" s="400"/>
      <c r="E15" s="132"/>
      <c r="F15" s="403">
        <f>ROUND(E13*E14,4)</f>
        <v>0</v>
      </c>
      <c r="G15" s="402"/>
      <c r="L15" s="1"/>
    </row>
    <row r="16" spans="1:15" ht="15">
      <c r="A16" s="1"/>
      <c r="B16" s="132"/>
      <c r="C16" s="400"/>
      <c r="D16" s="400"/>
      <c r="E16" s="132"/>
      <c r="F16" s="403"/>
      <c r="G16" s="402"/>
      <c r="L16" s="1"/>
    </row>
    <row r="17" spans="1:12" ht="15">
      <c r="A17" s="1">
        <f>A13+1</f>
        <v>3</v>
      </c>
      <c r="B17" s="408" t="s">
        <v>105</v>
      </c>
      <c r="C17" s="400"/>
      <c r="D17" s="401"/>
      <c r="E17" s="406"/>
      <c r="F17" s="132"/>
      <c r="G17" s="402"/>
      <c r="L17" s="1"/>
    </row>
    <row r="18" spans="1:12" ht="15">
      <c r="A18" s="1"/>
      <c r="B18" s="132" t="s">
        <v>612</v>
      </c>
      <c r="C18" s="400"/>
      <c r="D18" s="400"/>
      <c r="E18" s="407"/>
      <c r="F18" s="132"/>
      <c r="G18" s="402"/>
      <c r="L18" s="1"/>
    </row>
    <row r="19" spans="1:12" ht="15">
      <c r="A19" s="1"/>
      <c r="B19" s="132" t="s">
        <v>228</v>
      </c>
      <c r="C19" s="400"/>
      <c r="D19" s="400"/>
      <c r="E19" s="132"/>
      <c r="F19" s="403">
        <f>ROUND(E17*E18,4)</f>
        <v>0</v>
      </c>
      <c r="G19" s="402"/>
      <c r="L19" s="1"/>
    </row>
    <row r="20" spans="1:12" ht="15">
      <c r="A20" s="1"/>
      <c r="B20" s="132"/>
      <c r="C20" s="400"/>
      <c r="D20" s="400"/>
      <c r="E20" s="132"/>
      <c r="F20" s="403"/>
      <c r="G20" s="402"/>
      <c r="L20" s="1"/>
    </row>
    <row r="21" spans="1:12" ht="15">
      <c r="A21" s="1">
        <f>A17+1</f>
        <v>4</v>
      </c>
      <c r="B21" s="408" t="s">
        <v>105</v>
      </c>
      <c r="C21" s="400"/>
      <c r="D21" s="401"/>
      <c r="E21" s="406"/>
      <c r="F21" s="132"/>
      <c r="G21" s="402"/>
      <c r="L21" s="1"/>
    </row>
    <row r="22" spans="1:12" ht="15">
      <c r="A22" s="1"/>
      <c r="B22" s="132" t="s">
        <v>612</v>
      </c>
      <c r="C22" s="400"/>
      <c r="D22" s="400"/>
      <c r="E22" s="407"/>
      <c r="F22" s="132"/>
      <c r="G22" s="402"/>
      <c r="L22" s="1"/>
    </row>
    <row r="23" spans="1:12" ht="15">
      <c r="A23" s="1"/>
      <c r="B23" s="132" t="s">
        <v>228</v>
      </c>
      <c r="C23" s="400"/>
      <c r="D23" s="400"/>
      <c r="E23" s="132"/>
      <c r="F23" s="403">
        <f>ROUND(E21*E22,4)</f>
        <v>0</v>
      </c>
      <c r="G23" s="402"/>
      <c r="L23" s="1"/>
    </row>
    <row r="24" spans="1:12" ht="15">
      <c r="A24" s="1"/>
      <c r="B24" s="132"/>
      <c r="C24" s="400"/>
      <c r="D24" s="400"/>
      <c r="E24" s="132"/>
      <c r="F24" s="403"/>
      <c r="G24" s="402"/>
      <c r="L24" s="1"/>
    </row>
    <row r="25" spans="1:12" ht="15">
      <c r="A25" s="1">
        <f>A21+1</f>
        <v>5</v>
      </c>
      <c r="B25" s="408" t="s">
        <v>105</v>
      </c>
      <c r="C25" s="400"/>
      <c r="D25" s="401"/>
      <c r="E25" s="406"/>
      <c r="F25" s="404"/>
      <c r="G25" s="402"/>
      <c r="L25" s="1"/>
    </row>
    <row r="26" spans="1:12" ht="15">
      <c r="A26" s="1"/>
      <c r="B26" s="132" t="s">
        <v>612</v>
      </c>
      <c r="C26" s="400"/>
      <c r="D26" s="400"/>
      <c r="E26" s="407"/>
      <c r="F26" s="404"/>
      <c r="G26" s="402"/>
      <c r="L26" s="1"/>
    </row>
    <row r="27" spans="1:12" ht="15">
      <c r="A27" s="1"/>
      <c r="B27" s="132" t="s">
        <v>228</v>
      </c>
      <c r="C27" s="400"/>
      <c r="D27" s="400"/>
      <c r="E27" s="132"/>
      <c r="F27" s="403">
        <f>ROUND(E25*E26,4)</f>
        <v>0</v>
      </c>
      <c r="G27" s="402"/>
      <c r="L27" s="1"/>
    </row>
    <row r="28" spans="1:12" ht="15">
      <c r="A28" s="1"/>
      <c r="B28" s="132"/>
      <c r="C28" s="400"/>
      <c r="D28" s="400"/>
      <c r="E28" s="400"/>
      <c r="F28" s="404"/>
      <c r="G28" s="402"/>
      <c r="L28" s="1"/>
    </row>
    <row r="29" spans="1:12" ht="15.75" thickBot="1">
      <c r="A29" s="1"/>
      <c r="B29" s="132" t="s">
        <v>485</v>
      </c>
      <c r="C29" s="132"/>
      <c r="D29" s="132"/>
      <c r="E29" s="132"/>
      <c r="F29" s="405">
        <f>ROUND(SUM(F11:F28),4)</f>
        <v>2.3999999999999998E-3</v>
      </c>
      <c r="G29" s="402"/>
      <c r="L29" s="1"/>
    </row>
    <row r="30" spans="1:12" ht="13.5" thickTop="1">
      <c r="A30" s="1"/>
      <c r="L30" s="1"/>
    </row>
    <row r="31" spans="1:12">
      <c r="A31" s="1"/>
      <c r="L31" s="1"/>
    </row>
    <row r="32" spans="1:12">
      <c r="A32" s="1"/>
      <c r="L32" s="1"/>
    </row>
    <row r="33" spans="1:12" ht="12.75" customHeight="1">
      <c r="A33" s="1"/>
      <c r="C33" s="132"/>
      <c r="D33" s="132"/>
      <c r="E33" s="132"/>
      <c r="F33" s="132"/>
      <c r="L33" s="1"/>
    </row>
    <row r="34" spans="1:12">
      <c r="A34" s="3" t="s">
        <v>287</v>
      </c>
      <c r="B34" s="3" t="s">
        <v>192</v>
      </c>
      <c r="C34" s="3"/>
      <c r="D34" s="3"/>
      <c r="E34" s="3"/>
      <c r="F34" s="3"/>
      <c r="G34" s="3"/>
    </row>
    <row r="241" spans="2:2">
      <c r="B241" t="s">
        <v>31</v>
      </c>
    </row>
  </sheetData>
  <mergeCells count="4">
    <mergeCell ref="A6:G6"/>
    <mergeCell ref="A3:H3"/>
    <mergeCell ref="A4:H4"/>
    <mergeCell ref="A5:H5"/>
  </mergeCells>
  <phoneticPr fontId="0" type="noConversion"/>
  <pageMargins left="0.26" right="1.28" top="1" bottom="1" header="0.75" footer="0.5"/>
  <pageSetup scale="90"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C216"/>
  <sheetViews>
    <sheetView view="pageBreakPreview" topLeftCell="A14" zoomScale="60" zoomScaleNormal="80" zoomScalePageLayoutView="50" workbookViewId="0">
      <selection activeCell="G21" sqref="G21"/>
    </sheetView>
  </sheetViews>
  <sheetFormatPr defaultRowHeight="15"/>
  <cols>
    <col min="1" max="1" width="7.28515625" style="59" customWidth="1"/>
    <col min="2" max="2" width="1.7109375" style="50" customWidth="1"/>
    <col min="3" max="3" width="62.42578125" style="50" customWidth="1"/>
    <col min="4" max="4" width="11" style="50" customWidth="1"/>
    <col min="5" max="5" width="20.42578125" style="55" customWidth="1"/>
    <col min="6" max="6" width="1.7109375" style="50" customWidth="1"/>
    <col min="7" max="7" width="20" style="50" bestFit="1" customWidth="1"/>
    <col min="8" max="8" width="1.7109375" style="50" customWidth="1"/>
    <col min="9" max="9" width="21.42578125" style="50" customWidth="1"/>
    <col min="10" max="10" width="1.7109375" style="50" customWidth="1"/>
    <col min="11" max="11" width="17.7109375" style="50" bestFit="1" customWidth="1"/>
    <col min="12" max="12" width="3.42578125" style="50" customWidth="1"/>
    <col min="13" max="13" width="22.5703125" style="50" customWidth="1"/>
    <col min="14" max="14" width="1.28515625" style="50" customWidth="1"/>
    <col min="15" max="15" width="22.140625" style="409" customWidth="1"/>
    <col min="16" max="16384" width="9.140625" style="50"/>
  </cols>
  <sheetData>
    <row r="1" spans="1:29" ht="15.75">
      <c r="A1" s="730" t="s">
        <v>406</v>
      </c>
    </row>
    <row r="2" spans="1:29" ht="15.75">
      <c r="A2" s="730" t="s">
        <v>406</v>
      </c>
    </row>
    <row r="3" spans="1:29" ht="18.75" customHeight="1">
      <c r="A3" s="1148" t="str">
        <f>TCOS!$F$5</f>
        <v>AEPTCo subsidiaries in PJM</v>
      </c>
      <c r="B3" s="1148" t="str">
        <f>TCOS!$F$5</f>
        <v>AEPTCo subsidiaries in PJM</v>
      </c>
      <c r="C3" s="1148" t="str">
        <f>TCOS!$F$5</f>
        <v>AEPTCo subsidiaries in PJM</v>
      </c>
      <c r="D3" s="1148" t="str">
        <f>TCOS!$F$5</f>
        <v>AEPTCo subsidiaries in PJM</v>
      </c>
      <c r="E3" s="1148" t="str">
        <f>TCOS!$F$5</f>
        <v>AEPTCo subsidiaries in PJM</v>
      </c>
      <c r="F3" s="1148" t="str">
        <f>TCOS!$F$5</f>
        <v>AEPTCo subsidiaries in PJM</v>
      </c>
      <c r="G3" s="1148" t="str">
        <f>TCOS!$F$5</f>
        <v>AEPTCo subsidiaries in PJM</v>
      </c>
      <c r="H3" s="1148" t="str">
        <f>TCOS!$F$5</f>
        <v>AEPTCo subsidiaries in PJM</v>
      </c>
      <c r="I3" s="1148" t="str">
        <f>TCOS!$F$5</f>
        <v>AEPTCo subsidiaries in PJM</v>
      </c>
      <c r="J3" s="1148" t="str">
        <f>TCOS!$F$5</f>
        <v>AEPTCo subsidiaries in PJM</v>
      </c>
      <c r="K3" s="1148" t="str">
        <f>TCOS!$F$5</f>
        <v>AEPTCo subsidiaries in PJM</v>
      </c>
      <c r="L3" s="1148" t="str">
        <f>TCOS!$F$5</f>
        <v>AEPTCo subsidiaries in PJM</v>
      </c>
      <c r="M3" s="1148" t="str">
        <f>TCOS!$F$5</f>
        <v>AEPTCo subsidiaries in PJM</v>
      </c>
    </row>
    <row r="4" spans="1:29" ht="18.75" customHeight="1">
      <c r="A4" s="1149" t="str">
        <f>"Cost of Service Formula Rate Using Actual/Projected FF1 Balances"</f>
        <v>Cost of Service Formula Rate Using Actual/Projected FF1 Balances</v>
      </c>
      <c r="B4" s="1149"/>
      <c r="C4" s="1149"/>
      <c r="D4" s="1149"/>
      <c r="E4" s="1149"/>
      <c r="F4" s="1149"/>
      <c r="G4" s="1149"/>
      <c r="H4" s="1149"/>
      <c r="I4" s="1149"/>
      <c r="J4" s="1149"/>
      <c r="K4" s="1149"/>
      <c r="L4" s="1149"/>
      <c r="M4" s="1149"/>
    </row>
    <row r="5" spans="1:29" ht="18.75" customHeight="1">
      <c r="A5" s="1149" t="s">
        <v>247</v>
      </c>
      <c r="B5" s="1149"/>
      <c r="C5" s="1149"/>
      <c r="D5" s="1149"/>
      <c r="E5" s="1149"/>
      <c r="F5" s="1149"/>
      <c r="G5" s="1149"/>
      <c r="H5" s="1149"/>
      <c r="I5" s="1149"/>
      <c r="J5" s="1149"/>
      <c r="K5" s="1149"/>
      <c r="L5" s="1149"/>
      <c r="M5" s="1149"/>
    </row>
    <row r="6" spans="1:29" ht="18.75" customHeight="1">
      <c r="A6" s="1150" t="str">
        <f>TCOS!F9</f>
        <v>AEP Ohio Transmission Company</v>
      </c>
      <c r="B6" s="1150"/>
      <c r="C6" s="1150"/>
      <c r="D6" s="1150"/>
      <c r="E6" s="1150"/>
      <c r="F6" s="1150"/>
      <c r="G6" s="1150"/>
      <c r="H6" s="1150"/>
      <c r="I6" s="1150"/>
      <c r="J6" s="1150"/>
      <c r="K6" s="1150"/>
      <c r="L6" s="1150"/>
      <c r="M6" s="1150"/>
    </row>
    <row r="7" spans="1:29" ht="18" customHeight="1">
      <c r="A7" s="1159"/>
      <c r="B7" s="1159"/>
      <c r="C7" s="1159"/>
      <c r="D7" s="1159"/>
      <c r="E7" s="1159"/>
      <c r="F7" s="1159"/>
      <c r="G7" s="1159"/>
      <c r="H7" s="1159"/>
      <c r="I7" s="1159"/>
      <c r="J7" s="1159"/>
      <c r="K7" s="1159"/>
      <c r="L7" s="1159"/>
      <c r="M7" s="1159"/>
    </row>
    <row r="8" spans="1:29" ht="18" customHeight="1">
      <c r="A8" s="1184"/>
      <c r="B8" s="1184"/>
      <c r="C8" s="1184"/>
      <c r="D8" s="1184"/>
      <c r="E8" s="1184"/>
      <c r="F8" s="1184"/>
      <c r="G8" s="1184"/>
      <c r="H8" s="1184"/>
      <c r="I8" s="1184"/>
      <c r="J8" s="1184"/>
      <c r="K8" s="1184"/>
      <c r="L8" s="1184"/>
      <c r="M8" s="1184"/>
    </row>
    <row r="9" spans="1:29" ht="18" customHeight="1">
      <c r="A9" s="67"/>
      <c r="B9" s="67"/>
      <c r="C9" s="67"/>
      <c r="D9" s="67"/>
      <c r="E9" s="67"/>
      <c r="F9" s="67"/>
      <c r="G9" s="67"/>
      <c r="H9" s="67"/>
      <c r="I9" s="67"/>
      <c r="J9" s="67"/>
      <c r="K9" s="67"/>
      <c r="L9" s="67"/>
      <c r="M9" s="67"/>
    </row>
    <row r="10" spans="1:29" ht="19.5" customHeight="1">
      <c r="A10" s="52"/>
      <c r="B10" s="51"/>
      <c r="C10" s="15" t="s">
        <v>452</v>
      </c>
      <c r="E10" s="15" t="s">
        <v>453</v>
      </c>
      <c r="G10" s="15" t="s">
        <v>454</v>
      </c>
      <c r="I10" s="15" t="s">
        <v>455</v>
      </c>
      <c r="K10" s="15" t="s">
        <v>375</v>
      </c>
      <c r="M10" s="15" t="s">
        <v>376</v>
      </c>
    </row>
    <row r="11" spans="1:29" ht="18">
      <c r="A11" s="80"/>
      <c r="B11" s="81"/>
      <c r="C11" s="81"/>
      <c r="D11" s="81"/>
      <c r="E11"/>
      <c r="F11"/>
      <c r="G11"/>
      <c r="H11"/>
      <c r="I11"/>
      <c r="J11"/>
      <c r="K11"/>
      <c r="L11"/>
      <c r="M11"/>
      <c r="Q11" s="17"/>
      <c r="R11" s="17"/>
      <c r="S11" s="17"/>
      <c r="T11" s="17"/>
      <c r="U11" s="17"/>
      <c r="V11" s="17"/>
      <c r="W11" s="17"/>
      <c r="X11" s="17"/>
      <c r="Y11" s="17"/>
      <c r="Z11" s="17"/>
      <c r="AA11" s="17"/>
      <c r="AB11" s="17"/>
      <c r="AC11" s="17"/>
    </row>
    <row r="12" spans="1:29" ht="19.5">
      <c r="A12" s="80" t="s">
        <v>459</v>
      </c>
      <c r="B12" s="81"/>
      <c r="C12" s="81"/>
      <c r="D12" s="81"/>
      <c r="E12" s="82" t="s">
        <v>410</v>
      </c>
      <c r="F12" s="80"/>
      <c r="G12" s="80"/>
      <c r="H12" s="80"/>
      <c r="I12" s="80"/>
      <c r="J12" s="80"/>
      <c r="K12" s="54"/>
      <c r="L12" s="54"/>
      <c r="M12" s="410"/>
    </row>
    <row r="13" spans="1:29" ht="19.5">
      <c r="A13" s="83" t="s">
        <v>409</v>
      </c>
      <c r="B13" s="81"/>
      <c r="C13" s="83" t="s">
        <v>102</v>
      </c>
      <c r="D13" s="81"/>
      <c r="E13" s="84" t="s">
        <v>473</v>
      </c>
      <c r="F13" s="80"/>
      <c r="G13" s="83" t="s">
        <v>106</v>
      </c>
      <c r="H13" s="80"/>
      <c r="I13" s="83" t="s">
        <v>451</v>
      </c>
      <c r="J13" s="80"/>
      <c r="K13" s="411" t="s">
        <v>471</v>
      </c>
      <c r="L13" s="412"/>
      <c r="M13" s="411" t="s">
        <v>107</v>
      </c>
    </row>
    <row r="14" spans="1:29" ht="19.5">
      <c r="A14" s="52"/>
      <c r="B14" s="51"/>
      <c r="C14" s="49"/>
      <c r="D14" s="49"/>
      <c r="E14" s="49" t="s">
        <v>325</v>
      </c>
      <c r="F14" s="49"/>
      <c r="G14" s="49"/>
      <c r="H14" s="49"/>
      <c r="I14" s="49"/>
      <c r="J14" s="49"/>
      <c r="K14" s="48"/>
      <c r="L14" s="48"/>
    </row>
    <row r="15" spans="1:29" ht="19.5">
      <c r="A15" s="52"/>
      <c r="B15" s="51"/>
      <c r="C15" s="51"/>
      <c r="D15" s="51"/>
      <c r="E15" s="413"/>
      <c r="F15" s="51"/>
      <c r="G15" s="51"/>
      <c r="H15" s="51"/>
      <c r="I15" s="414"/>
      <c r="J15" s="51"/>
      <c r="K15" s="48"/>
      <c r="L15" s="48"/>
    </row>
    <row r="16" spans="1:29" ht="19.5">
      <c r="A16" s="52">
        <v>1</v>
      </c>
      <c r="B16" s="51"/>
      <c r="C16" s="53" t="s">
        <v>118</v>
      </c>
      <c r="D16" s="51"/>
      <c r="E16" s="48"/>
      <c r="F16" s="48"/>
      <c r="G16" s="66"/>
      <c r="H16" s="66"/>
      <c r="I16" s="66"/>
      <c r="J16" s="66"/>
      <c r="K16" s="66"/>
      <c r="L16" s="66"/>
      <c r="M16" s="66"/>
    </row>
    <row r="17" spans="1:15" ht="19.5">
      <c r="A17" s="52">
        <f>+A16+1</f>
        <v>2</v>
      </c>
      <c r="B17" s="51"/>
      <c r="C17" s="51" t="s">
        <v>103</v>
      </c>
      <c r="D17" s="51"/>
      <c r="E17" s="66">
        <f>+'WS H-p2 Detail of Tax Amts'!E14</f>
        <v>3960.0000000000005</v>
      </c>
      <c r="F17" s="48"/>
      <c r="G17" s="66"/>
      <c r="H17" s="66"/>
      <c r="I17" s="66"/>
      <c r="J17" s="66"/>
      <c r="K17" s="66"/>
      <c r="L17" s="66"/>
      <c r="M17" s="66">
        <f>+E17</f>
        <v>3960.0000000000005</v>
      </c>
    </row>
    <row r="18" spans="1:15" ht="19.5">
      <c r="A18" s="52"/>
      <c r="B18" s="51"/>
      <c r="C18" s="54"/>
      <c r="D18" s="51"/>
      <c r="E18" s="48"/>
      <c r="F18" s="48"/>
      <c r="G18" s="66"/>
      <c r="H18" s="66"/>
      <c r="I18" s="66"/>
      <c r="J18" s="66"/>
      <c r="K18" s="66"/>
      <c r="L18" s="66"/>
      <c r="M18" s="66"/>
    </row>
    <row r="19" spans="1:15" ht="19.5">
      <c r="A19" s="52">
        <f>+A17+1</f>
        <v>3</v>
      </c>
      <c r="B19" s="51"/>
      <c r="C19" s="53" t="s">
        <v>119</v>
      </c>
      <c r="D19" s="51"/>
      <c r="E19" s="48"/>
      <c r="F19" s="48"/>
      <c r="G19" s="66"/>
      <c r="H19" s="66"/>
      <c r="I19" s="66"/>
      <c r="J19" s="66"/>
      <c r="K19" s="66"/>
      <c r="L19" s="66"/>
      <c r="M19" s="66"/>
    </row>
    <row r="20" spans="1:15" ht="19.5">
      <c r="A20" s="52">
        <f>+A19+1</f>
        <v>4</v>
      </c>
      <c r="B20" s="51"/>
      <c r="C20" s="51" t="s">
        <v>800</v>
      </c>
      <c r="D20" s="51"/>
      <c r="E20" s="66">
        <f>'WS H-p2 Detail of Tax Amts'!E23</f>
        <v>274819999.99999994</v>
      </c>
      <c r="F20" s="51"/>
      <c r="G20" s="66">
        <f>+E20</f>
        <v>274819999.99999994</v>
      </c>
      <c r="H20" s="66"/>
      <c r="I20" s="66"/>
      <c r="J20" s="66"/>
      <c r="K20" s="66"/>
      <c r="L20" s="66"/>
      <c r="M20" s="66"/>
      <c r="O20"/>
    </row>
    <row r="21" spans="1:15" ht="19.5">
      <c r="A21" s="52">
        <f>+A20+1</f>
        <v>5</v>
      </c>
      <c r="B21" s="51"/>
      <c r="C21" s="51" t="s">
        <v>828</v>
      </c>
      <c r="D21" s="51"/>
      <c r="E21" s="66">
        <f>'WS H-p2 Detail of Tax Amts'!E30</f>
        <v>0</v>
      </c>
      <c r="F21" s="51"/>
      <c r="G21" s="66">
        <f>+E21</f>
        <v>0</v>
      </c>
      <c r="H21" s="66"/>
      <c r="I21" s="66"/>
      <c r="J21" s="66"/>
      <c r="K21" s="66"/>
      <c r="L21" s="66"/>
      <c r="M21" s="66"/>
      <c r="O21"/>
    </row>
    <row r="22" spans="1:15" ht="19.5">
      <c r="A22" s="52">
        <f>+A21+1</f>
        <v>6</v>
      </c>
      <c r="B22" s="51"/>
      <c r="C22" s="51" t="s">
        <v>828</v>
      </c>
      <c r="D22" s="51"/>
      <c r="E22" s="66">
        <f>'WS H-p2 Detail of Tax Amts'!E37</f>
        <v>0</v>
      </c>
      <c r="F22" s="51"/>
      <c r="G22" s="66">
        <f>+E22</f>
        <v>0</v>
      </c>
      <c r="H22" s="66"/>
      <c r="I22" s="66"/>
      <c r="J22" s="66"/>
      <c r="K22" s="66"/>
      <c r="L22" s="66"/>
      <c r="M22" s="66"/>
      <c r="O22"/>
    </row>
    <row r="23" spans="1:15" ht="19.5">
      <c r="A23" s="52">
        <f>+A22+1</f>
        <v>7</v>
      </c>
      <c r="B23" s="51"/>
      <c r="C23" s="51" t="s">
        <v>243</v>
      </c>
      <c r="D23" s="89"/>
      <c r="E23" s="66">
        <f>+'WS H-p2 Detail of Tax Amts'!E40</f>
        <v>0</v>
      </c>
      <c r="F23" s="48"/>
      <c r="G23" s="66">
        <f>+E23</f>
        <v>0</v>
      </c>
      <c r="H23" s="66"/>
      <c r="I23" s="66"/>
      <c r="J23" s="66"/>
      <c r="K23" s="66"/>
      <c r="L23" s="66"/>
      <c r="M23" s="66"/>
      <c r="O23"/>
    </row>
    <row r="24" spans="1:15" ht="19.5">
      <c r="A24" s="52"/>
      <c r="B24" s="51"/>
      <c r="C24" s="54"/>
      <c r="D24" s="51"/>
      <c r="E24" s="48"/>
      <c r="F24" s="48"/>
      <c r="G24" s="66"/>
      <c r="H24" s="66"/>
      <c r="I24" s="66"/>
      <c r="J24" s="66"/>
      <c r="K24" s="66"/>
      <c r="L24" s="66"/>
      <c r="M24" s="66"/>
      <c r="O24" s="415"/>
    </row>
    <row r="25" spans="1:15" ht="19.5">
      <c r="A25" s="52">
        <f>+A23+1</f>
        <v>8</v>
      </c>
      <c r="B25" s="51"/>
      <c r="C25" s="53" t="s">
        <v>120</v>
      </c>
      <c r="D25" s="51"/>
      <c r="E25" s="48"/>
      <c r="F25" s="48"/>
      <c r="G25" s="66"/>
      <c r="H25" s="66"/>
      <c r="I25" s="66"/>
      <c r="J25" s="66"/>
      <c r="K25" s="66"/>
      <c r="L25" s="66"/>
      <c r="M25" s="66"/>
      <c r="O25" s="415"/>
    </row>
    <row r="26" spans="1:15" ht="19.5">
      <c r="A26" s="52">
        <f>+A25+1</f>
        <v>9</v>
      </c>
      <c r="B26" s="51"/>
      <c r="C26" s="51" t="s">
        <v>116</v>
      </c>
      <c r="D26" s="51"/>
      <c r="E26" s="66">
        <f>+'WS H-p2 Detail of Tax Amts'!E50</f>
        <v>0</v>
      </c>
      <c r="F26" s="48"/>
      <c r="G26" s="66"/>
      <c r="H26" s="66"/>
      <c r="I26" s="66">
        <f>+E26</f>
        <v>0</v>
      </c>
      <c r="J26" s="66"/>
      <c r="K26" s="66"/>
      <c r="L26" s="66"/>
      <c r="M26" s="66"/>
      <c r="O26" s="415"/>
    </row>
    <row r="27" spans="1:15" ht="19.5">
      <c r="A27" s="52">
        <f>+A26+1</f>
        <v>10</v>
      </c>
      <c r="B27" s="51"/>
      <c r="C27" s="51" t="s">
        <v>109</v>
      </c>
      <c r="D27" s="51"/>
      <c r="E27" s="66">
        <f>+'WS H-p2 Detail of Tax Amts'!E52</f>
        <v>0</v>
      </c>
      <c r="F27" s="48"/>
      <c r="G27" s="48"/>
      <c r="H27" s="48"/>
      <c r="I27" s="66">
        <f>+E27</f>
        <v>0</v>
      </c>
      <c r="J27" s="51"/>
      <c r="K27" s="48"/>
      <c r="L27" s="48"/>
      <c r="M27" s="66"/>
    </row>
    <row r="28" spans="1:15" ht="19.5">
      <c r="A28" s="52">
        <f>+A27+1</f>
        <v>11</v>
      </c>
      <c r="B28" s="51"/>
      <c r="C28" s="51" t="s">
        <v>110</v>
      </c>
      <c r="D28" s="51"/>
      <c r="E28" s="66">
        <f>+'WS H-p2 Detail of Tax Amts'!E54</f>
        <v>0</v>
      </c>
      <c r="F28" s="48"/>
      <c r="G28" s="48"/>
      <c r="H28" s="48"/>
      <c r="I28" s="66">
        <f>+E28</f>
        <v>0</v>
      </c>
      <c r="J28" s="413"/>
      <c r="K28" s="48"/>
      <c r="L28" s="48"/>
      <c r="M28" s="66"/>
    </row>
    <row r="29" spans="1:15" ht="19.5">
      <c r="A29" s="52" t="s">
        <v>406</v>
      </c>
      <c r="B29" s="51"/>
      <c r="C29" s="48"/>
      <c r="D29" s="51"/>
      <c r="E29" s="48"/>
      <c r="F29" s="48"/>
      <c r="G29" s="48"/>
      <c r="H29" s="48"/>
      <c r="I29" s="416"/>
      <c r="J29" s="417"/>
      <c r="K29" s="418"/>
      <c r="L29" s="418"/>
      <c r="M29" s="66"/>
    </row>
    <row r="30" spans="1:15" ht="19.5">
      <c r="A30" s="52">
        <f>A28+1</f>
        <v>12</v>
      </c>
      <c r="B30" s="51"/>
      <c r="C30" s="419" t="s">
        <v>312</v>
      </c>
      <c r="D30" s="51"/>
      <c r="E30" s="107"/>
      <c r="F30" s="107"/>
      <c r="G30" s="107"/>
      <c r="H30" s="107"/>
      <c r="I30" s="420"/>
      <c r="J30" s="421"/>
      <c r="K30" s="422"/>
      <c r="L30" s="422"/>
      <c r="M30" s="423"/>
    </row>
    <row r="31" spans="1:15" ht="19.5">
      <c r="A31" s="52">
        <f>A30+1</f>
        <v>13</v>
      </c>
      <c r="B31" s="51"/>
      <c r="C31" s="51" t="s">
        <v>214</v>
      </c>
      <c r="D31" s="89"/>
      <c r="E31" s="66">
        <f>+'WS H-p2 Detail of Tax Amts'!E59</f>
        <v>0</v>
      </c>
      <c r="F31" s="48"/>
      <c r="G31" s="48"/>
      <c r="H31" s="48"/>
      <c r="I31" s="416"/>
      <c r="J31" s="417"/>
      <c r="K31" s="418"/>
      <c r="L31" s="418"/>
      <c r="M31" s="66">
        <f>E31</f>
        <v>0</v>
      </c>
    </row>
    <row r="32" spans="1:15" ht="19.5">
      <c r="A32" s="52"/>
      <c r="B32" s="51"/>
      <c r="C32" s="48"/>
      <c r="D32" s="51"/>
      <c r="E32" s="48"/>
      <c r="F32" s="48"/>
      <c r="G32" s="48"/>
      <c r="H32" s="48"/>
      <c r="I32" s="416"/>
      <c r="J32" s="417"/>
      <c r="K32" s="418"/>
      <c r="L32" s="418"/>
      <c r="M32" s="66"/>
    </row>
    <row r="33" spans="1:13" ht="19.5">
      <c r="A33" s="56">
        <f>A31+1</f>
        <v>14</v>
      </c>
      <c r="B33" s="57"/>
      <c r="C33" s="53" t="s">
        <v>117</v>
      </c>
      <c r="D33" s="58"/>
      <c r="E33" s="48"/>
      <c r="F33" s="48"/>
      <c r="G33" s="66"/>
      <c r="H33" s="66"/>
      <c r="I33" s="66"/>
      <c r="J33" s="66"/>
      <c r="K33" s="66"/>
      <c r="L33" s="66"/>
      <c r="M33" s="66"/>
    </row>
    <row r="34" spans="1:13" ht="19.5">
      <c r="A34" s="56">
        <f>A33+1</f>
        <v>15</v>
      </c>
      <c r="B34" s="57"/>
      <c r="C34" s="51" t="s">
        <v>213</v>
      </c>
      <c r="D34" s="58"/>
      <c r="E34" s="66">
        <f>+'WS H-p2 Detail of Tax Amts'!E62</f>
        <v>0</v>
      </c>
      <c r="F34" s="48"/>
      <c r="G34" s="66"/>
      <c r="H34" s="66"/>
      <c r="I34" s="66"/>
      <c r="J34" s="66"/>
      <c r="K34" s="66"/>
      <c r="L34" s="66"/>
      <c r="M34" s="66">
        <f>E34</f>
        <v>0</v>
      </c>
    </row>
    <row r="35" spans="1:13" ht="19.5">
      <c r="A35" s="52">
        <f>A34+1</f>
        <v>16</v>
      </c>
      <c r="B35" s="51"/>
      <c r="C35" s="51" t="s">
        <v>111</v>
      </c>
      <c r="D35" s="51"/>
      <c r="E35" s="66">
        <f>+'WS H-p2 Detail of Tax Amts'!E65</f>
        <v>0</v>
      </c>
      <c r="F35" s="48"/>
      <c r="G35" s="66"/>
      <c r="H35" s="66"/>
      <c r="I35" s="66"/>
      <c r="J35" s="66"/>
      <c r="K35" s="66">
        <f>+E35</f>
        <v>0</v>
      </c>
      <c r="L35" s="66"/>
      <c r="M35" s="66"/>
    </row>
    <row r="36" spans="1:13" ht="19.5">
      <c r="A36" s="52">
        <f t="shared" ref="A36:A41" si="0">+A35+1</f>
        <v>17</v>
      </c>
      <c r="B36" s="51"/>
      <c r="C36" s="51" t="s">
        <v>112</v>
      </c>
      <c r="D36"/>
      <c r="E36" s="66">
        <f>+'WS H-p2 Detail of Tax Amts'!E69</f>
        <v>0</v>
      </c>
      <c r="F36" s="48"/>
      <c r="G36" s="66"/>
      <c r="H36" s="66"/>
      <c r="I36" s="66"/>
      <c r="J36" s="66"/>
      <c r="K36" s="66">
        <f>+E36</f>
        <v>0</v>
      </c>
      <c r="L36" s="66"/>
      <c r="M36" s="66"/>
    </row>
    <row r="37" spans="1:13" ht="19.5">
      <c r="A37" s="52">
        <f>+A36+1</f>
        <v>18</v>
      </c>
      <c r="B37" s="51"/>
      <c r="C37" s="51" t="s">
        <v>113</v>
      </c>
      <c r="D37"/>
      <c r="E37" s="66">
        <f>'WS H-p2 Detail of Tax Amts'!E81</f>
        <v>0</v>
      </c>
      <c r="F37" s="48"/>
      <c r="G37" s="66"/>
      <c r="H37" s="66"/>
      <c r="I37" s="66"/>
      <c r="J37" s="66"/>
      <c r="K37" s="66">
        <f>+E37</f>
        <v>0</v>
      </c>
      <c r="L37" s="66"/>
      <c r="M37" s="66"/>
    </row>
    <row r="38" spans="1:13" ht="19.5">
      <c r="A38" s="52">
        <f t="shared" si="0"/>
        <v>19</v>
      </c>
      <c r="B38" s="51"/>
      <c r="C38" s="51" t="s">
        <v>114</v>
      </c>
      <c r="D38" s="51"/>
      <c r="E38" s="66">
        <f>+'WS H-p2 Detail of Tax Amts'!E86</f>
        <v>0</v>
      </c>
      <c r="F38" s="48"/>
      <c r="G38" s="66"/>
      <c r="H38" s="66"/>
      <c r="I38" s="66"/>
      <c r="J38" s="66"/>
      <c r="K38" s="66">
        <f>+E38</f>
        <v>0</v>
      </c>
      <c r="L38" s="66"/>
      <c r="M38" s="66"/>
    </row>
    <row r="39" spans="1:13" ht="19.5">
      <c r="A39" s="52">
        <f t="shared" si="0"/>
        <v>20</v>
      </c>
      <c r="B39" s="51"/>
      <c r="C39" s="51" t="s">
        <v>115</v>
      </c>
      <c r="D39" s="51"/>
      <c r="E39" s="66">
        <f>+'WS H-p2 Detail of Tax Amts'!E89</f>
        <v>600</v>
      </c>
      <c r="F39" s="48"/>
      <c r="G39" s="66"/>
      <c r="H39" s="66"/>
      <c r="I39" s="66"/>
      <c r="J39" s="66"/>
      <c r="K39" s="66"/>
      <c r="L39" s="66"/>
      <c r="M39" s="66">
        <f>+E39</f>
        <v>600</v>
      </c>
    </row>
    <row r="40" spans="1:13" ht="19.5">
      <c r="A40" s="52">
        <f t="shared" si="0"/>
        <v>21</v>
      </c>
      <c r="B40" s="48"/>
      <c r="C40" s="51" t="s">
        <v>104</v>
      </c>
      <c r="D40" s="48"/>
      <c r="E40" s="66">
        <f>+'WS H-p2 Detail of Tax Amts'!E95</f>
        <v>0</v>
      </c>
      <c r="F40" s="48"/>
      <c r="G40" s="66"/>
      <c r="H40" s="66"/>
      <c r="I40" s="66"/>
      <c r="J40" s="66"/>
      <c r="K40" s="66"/>
      <c r="L40" s="66"/>
      <c r="M40" s="66">
        <f>+E40</f>
        <v>0</v>
      </c>
    </row>
    <row r="41" spans="1:13" ht="19.5">
      <c r="A41" s="52">
        <f t="shared" si="0"/>
        <v>22</v>
      </c>
      <c r="B41" s="48"/>
      <c r="C41" s="51" t="s">
        <v>398</v>
      </c>
      <c r="D41" s="48"/>
      <c r="E41" s="66">
        <v>0</v>
      </c>
      <c r="F41" s="48"/>
      <c r="G41" s="66"/>
      <c r="H41" s="66"/>
      <c r="I41" s="66"/>
      <c r="J41" s="66"/>
      <c r="K41" s="66"/>
      <c r="L41" s="66"/>
      <c r="M41" s="66">
        <f>+E41</f>
        <v>0</v>
      </c>
    </row>
    <row r="42" spans="1:13" ht="19.5">
      <c r="A42" s="3"/>
      <c r="B42" s="41"/>
      <c r="C42" s="51"/>
      <c r="D42"/>
      <c r="E42"/>
      <c r="F42" s="48"/>
      <c r="H42" s="424"/>
      <c r="I42" s="425"/>
      <c r="J42" s="425"/>
      <c r="K42" s="418"/>
      <c r="L42" s="426"/>
      <c r="M42" s="426"/>
    </row>
    <row r="43" spans="1:13" ht="20.25" thickBot="1">
      <c r="A43" s="95">
        <f>+A41+1</f>
        <v>23</v>
      </c>
      <c r="B43" s="41"/>
      <c r="C43" s="51" t="s">
        <v>108</v>
      </c>
      <c r="D43"/>
      <c r="E43" s="427">
        <f>SUM(E17:E41)</f>
        <v>274824559.99999994</v>
      </c>
      <c r="F43" s="48"/>
      <c r="G43" s="427">
        <f>SUM(G17:G41)</f>
        <v>274819999.99999994</v>
      </c>
      <c r="H43" s="424"/>
      <c r="I43" s="427">
        <f>SUM(I17:I41)</f>
        <v>0</v>
      </c>
      <c r="J43" s="425"/>
      <c r="K43" s="427">
        <f>SUM(K17:K41)</f>
        <v>0</v>
      </c>
      <c r="L43" s="426"/>
      <c r="M43" s="427">
        <f>SUM(M17:M41)</f>
        <v>4560</v>
      </c>
    </row>
    <row r="44" spans="1:13" ht="20.25" thickTop="1">
      <c r="A44" s="3"/>
      <c r="B44" s="41"/>
      <c r="C44" s="51" t="s">
        <v>173</v>
      </c>
      <c r="D44"/>
      <c r="E44"/>
      <c r="F44" s="48"/>
      <c r="G44" s="424"/>
      <c r="H44" s="424"/>
      <c r="I44" s="425"/>
      <c r="J44" s="155"/>
      <c r="K44" s="426"/>
      <c r="L44" s="426"/>
      <c r="M44" s="426"/>
    </row>
    <row r="45" spans="1:13" ht="19.5">
      <c r="A45" s="3"/>
      <c r="B45" s="41"/>
      <c r="C45" s="51" t="s">
        <v>5</v>
      </c>
      <c r="D45"/>
      <c r="E45"/>
      <c r="F45" s="48"/>
      <c r="G45" s="424"/>
      <c r="H45" s="424"/>
      <c r="I45" s="425"/>
      <c r="J45" s="155"/>
      <c r="K45" s="426"/>
      <c r="L45" s="426"/>
      <c r="M45" s="426"/>
    </row>
    <row r="46" spans="1:13" ht="19.5">
      <c r="A46" s="3"/>
      <c r="B46" s="41"/>
      <c r="C46" s="1186" t="s">
        <v>242</v>
      </c>
      <c r="D46" s="1186"/>
      <c r="E46" s="1186"/>
      <c r="F46" s="1186"/>
      <c r="G46" s="1186"/>
      <c r="H46" s="1186"/>
      <c r="I46" s="1186"/>
      <c r="J46" s="1186"/>
      <c r="K46" s="1186"/>
      <c r="L46" s="1186"/>
      <c r="M46" s="1186"/>
    </row>
    <row r="47" spans="1:13" ht="78">
      <c r="A47" s="52"/>
      <c r="C47" s="48"/>
      <c r="D47" s="48"/>
      <c r="E47" s="428" t="s">
        <v>313</v>
      </c>
      <c r="G47" s="429" t="s">
        <v>407</v>
      </c>
      <c r="H47" s="429"/>
      <c r="I47" s="428" t="s">
        <v>314</v>
      </c>
      <c r="J47" s="429"/>
      <c r="K47" s="429" t="s">
        <v>128</v>
      </c>
      <c r="L47" s="429"/>
      <c r="M47" s="429" t="s">
        <v>410</v>
      </c>
    </row>
    <row r="48" spans="1:13" ht="19.5">
      <c r="A48" s="52">
        <f>+A43+1</f>
        <v>24</v>
      </c>
      <c r="C48" s="107" t="str">
        <f>"Functionalized Net Plant (TCOS, Lns "&amp;TCOS!B83&amp;" thru "&amp;TCOS!B87&amp;")"</f>
        <v>Functionalized Net Plant (TCOS, Lns 33 thru 36)</v>
      </c>
      <c r="D48" s="48"/>
      <c r="E48" s="430">
        <v>0</v>
      </c>
      <c r="F48" s="107"/>
      <c r="G48" s="430">
        <f>+TCOS!G83</f>
        <v>5755326421.182127</v>
      </c>
      <c r="H48" s="107"/>
      <c r="I48" s="430">
        <v>0</v>
      </c>
      <c r="J48" s="107"/>
      <c r="K48" s="430">
        <f>+TCOS!G84</f>
        <v>286925230.99701506</v>
      </c>
      <c r="L48" s="48"/>
      <c r="M48" s="431">
        <f>SUM(E48:K48)</f>
        <v>6042251652.179142</v>
      </c>
    </row>
    <row r="49" spans="1:21" ht="19.5">
      <c r="A49" s="52"/>
      <c r="C49" s="54" t="s">
        <v>799</v>
      </c>
      <c r="D49" s="48"/>
      <c r="E49" s="431"/>
      <c r="F49" s="48"/>
      <c r="G49" s="432"/>
      <c r="H49" s="48"/>
      <c r="I49" s="431"/>
      <c r="J49" s="48"/>
      <c r="K49" s="431"/>
      <c r="L49" s="48"/>
      <c r="M49" s="433"/>
    </row>
    <row r="50" spans="1:21" ht="19.5">
      <c r="A50" s="52">
        <f>+A48+1</f>
        <v>25</v>
      </c>
      <c r="C50" s="48" t="str">
        <f>"Percentage of Plant in "&amp;C49&amp;""</f>
        <v>Percentage of Plant in OHIO JURISDICTION</v>
      </c>
      <c r="D50" s="48"/>
      <c r="E50" s="445"/>
      <c r="F50" s="434"/>
      <c r="G50" s="954">
        <v>1</v>
      </c>
      <c r="H50" s="434"/>
      <c r="I50" s="445"/>
      <c r="J50" s="434"/>
      <c r="K50" s="445">
        <v>1</v>
      </c>
      <c r="L50" s="48"/>
      <c r="M50" s="433"/>
    </row>
    <row r="51" spans="1:21" ht="19.5">
      <c r="A51" s="52">
        <f t="shared" ref="A51:A58" si="1">+A50+1</f>
        <v>26</v>
      </c>
      <c r="C51" s="107" t="str">
        <f>"Net Plant in "&amp;C49&amp;" (Ln "&amp;A48&amp;" * Ln "&amp;A50&amp;")"</f>
        <v>Net Plant in OHIO JURISDICTION (Ln 24 * Ln 25)</v>
      </c>
      <c r="D51" s="48"/>
      <c r="E51" s="431">
        <f>+E48*E50</f>
        <v>0</v>
      </c>
      <c r="F51" s="48"/>
      <c r="G51" s="431">
        <f>+G48*G50</f>
        <v>5755326421.182127</v>
      </c>
      <c r="H51" s="48"/>
      <c r="I51" s="431">
        <f>+I48*I50</f>
        <v>0</v>
      </c>
      <c r="J51" s="48"/>
      <c r="K51" s="431">
        <f>+K48*K50</f>
        <v>286925230.99701506</v>
      </c>
      <c r="L51" s="48"/>
      <c r="M51" s="431">
        <f>SUM(E51:K51)</f>
        <v>6042251652.179142</v>
      </c>
      <c r="O51"/>
    </row>
    <row r="52" spans="1:21" ht="19.5">
      <c r="A52" s="52">
        <f t="shared" si="1"/>
        <v>27</v>
      </c>
      <c r="C52" s="107" t="s">
        <v>541</v>
      </c>
      <c r="D52" s="48"/>
      <c r="E52" s="445"/>
      <c r="F52" s="48"/>
      <c r="G52" s="435"/>
      <c r="H52" s="48"/>
      <c r="I52" s="435"/>
      <c r="J52" s="48"/>
      <c r="K52" s="435"/>
      <c r="L52" s="48"/>
      <c r="M52" s="431"/>
      <c r="O52"/>
    </row>
    <row r="53" spans="1:21" ht="19.5">
      <c r="A53" s="52">
        <f t="shared" si="1"/>
        <v>28</v>
      </c>
      <c r="C53" s="48" t="str">
        <f>"Taxable Property Basis (Ln "&amp;A51&amp;" - Ln "&amp;A52&amp;")"</f>
        <v>Taxable Property Basis (Ln 26 - Ln 27)</v>
      </c>
      <c r="D53" s="48"/>
      <c r="E53" s="431">
        <f>+E51-E52</f>
        <v>0</v>
      </c>
      <c r="F53" s="48"/>
      <c r="G53" s="431">
        <f>+G51-G52</f>
        <v>5755326421.182127</v>
      </c>
      <c r="H53" s="48"/>
      <c r="I53" s="431">
        <f>+I51-I52</f>
        <v>0</v>
      </c>
      <c r="J53" s="48"/>
      <c r="K53" s="431">
        <f>+K51-K52</f>
        <v>286925230.99701506</v>
      </c>
      <c r="L53" s="48"/>
      <c r="M53" s="431">
        <f>SUM(E53:K53)</f>
        <v>6042251652.179142</v>
      </c>
      <c r="O53"/>
    </row>
    <row r="54" spans="1:21" ht="19.5">
      <c r="A54" s="52">
        <f t="shared" si="1"/>
        <v>29</v>
      </c>
      <c r="C54" s="66" t="s">
        <v>240</v>
      </c>
      <c r="D54" s="48"/>
      <c r="E54" s="445"/>
      <c r="F54" s="434"/>
      <c r="G54" s="445"/>
      <c r="H54" s="434"/>
      <c r="I54" s="445"/>
      <c r="J54" s="434"/>
      <c r="K54" s="445"/>
      <c r="L54" s="48"/>
      <c r="M54" s="431">
        <f>SUM(E54:K54)</f>
        <v>0</v>
      </c>
      <c r="O54"/>
    </row>
    <row r="55" spans="1:21" ht="19.5">
      <c r="A55" s="52">
        <f t="shared" si="1"/>
        <v>30</v>
      </c>
      <c r="C55" s="107" t="str">
        <f>"Weighted Net Plant (Ln "&amp;A53&amp;" * Ln "&amp;A54&amp;")"</f>
        <v>Weighted Net Plant (Ln 28 * Ln 29)</v>
      </c>
      <c r="D55" s="48"/>
      <c r="E55" s="431">
        <f>+E53*E54</f>
        <v>0</v>
      </c>
      <c r="F55" s="48"/>
      <c r="G55" s="431">
        <f>+G53*G54</f>
        <v>0</v>
      </c>
      <c r="H55" s="48"/>
      <c r="I55" s="431">
        <f>+I53*I54</f>
        <v>0</v>
      </c>
      <c r="J55" s="48"/>
      <c r="K55" s="431">
        <f>+K53*K54</f>
        <v>0</v>
      </c>
      <c r="L55" s="48"/>
      <c r="M55" s="431"/>
      <c r="O55"/>
      <c r="P55"/>
      <c r="Q55"/>
      <c r="R55"/>
      <c r="S55"/>
      <c r="T55"/>
      <c r="U55"/>
    </row>
    <row r="56" spans="1:21" ht="19.5">
      <c r="A56" s="52">
        <f t="shared" si="1"/>
        <v>31</v>
      </c>
      <c r="C56" s="48" t="str">
        <f>+"General Plant Allocator (Ln "&amp;A55&amp;" / (Total - General Plant))"</f>
        <v>General Plant Allocator (Ln 30 / (Total - General Plant))</v>
      </c>
      <c r="D56" s="48"/>
      <c r="E56" s="436">
        <f>IF(E54=0,0,+E55/($E55+$G55+$I55))</f>
        <v>0</v>
      </c>
      <c r="F56" s="48"/>
      <c r="G56" s="436">
        <v>1</v>
      </c>
      <c r="H56" s="48"/>
      <c r="I56" s="436">
        <f>IF(I54=0,0,+I55/($E55+$G55+$I55))</f>
        <v>0</v>
      </c>
      <c r="J56" s="48"/>
      <c r="K56" s="436">
        <v>-1</v>
      </c>
      <c r="L56" s="48"/>
      <c r="M56" s="48"/>
      <c r="O56"/>
      <c r="P56"/>
      <c r="Q56"/>
      <c r="R56"/>
      <c r="S56"/>
      <c r="T56"/>
      <c r="U56"/>
    </row>
    <row r="57" spans="1:21" ht="19.5">
      <c r="A57" s="52">
        <f t="shared" si="1"/>
        <v>32</v>
      </c>
      <c r="C57" s="48" t="str">
        <f>"Functionalized General Plant (Ln "&amp;A56&amp;" * General Plant)"</f>
        <v>Functionalized General Plant (Ln 31 * General Plant)</v>
      </c>
      <c r="D57" s="48"/>
      <c r="E57" s="437">
        <f>ROUND($K55*E56,0)</f>
        <v>0</v>
      </c>
      <c r="F57" s="48"/>
      <c r="G57" s="437">
        <f>+G56*K55</f>
        <v>0</v>
      </c>
      <c r="H57" s="48"/>
      <c r="I57" s="437">
        <f>ROUND($K55*I56,0)</f>
        <v>0</v>
      </c>
      <c r="J57" s="48"/>
      <c r="K57" s="437">
        <f>ROUND($K55*K56,0)</f>
        <v>0</v>
      </c>
      <c r="L57" s="48"/>
      <c r="M57" s="431">
        <f>IF(SUM(E57:K57)&lt;&gt;0,0,0)</f>
        <v>0</v>
      </c>
      <c r="O57"/>
      <c r="P57"/>
      <c r="Q57"/>
      <c r="R57"/>
      <c r="S57"/>
      <c r="T57"/>
      <c r="U57"/>
    </row>
    <row r="58" spans="1:21" ht="19.5">
      <c r="A58" s="52">
        <f t="shared" si="1"/>
        <v>33</v>
      </c>
      <c r="C58" s="48" t="str">
        <f>"Weighted "&amp;C49&amp;" Plant (Ln "&amp;A55&amp;" + "&amp;A57&amp;")"</f>
        <v>Weighted OHIO JURISDICTION Plant (Ln 30 + 32)</v>
      </c>
      <c r="D58" s="48"/>
      <c r="E58" s="431">
        <f>+E55+E57</f>
        <v>0</v>
      </c>
      <c r="F58" s="48"/>
      <c r="G58" s="431">
        <f>+G55+G57</f>
        <v>0</v>
      </c>
      <c r="H58" s="48"/>
      <c r="I58" s="431">
        <f>+I55+I57</f>
        <v>0</v>
      </c>
      <c r="J58" s="48"/>
      <c r="K58" s="431">
        <f>+K55+K57</f>
        <v>0</v>
      </c>
      <c r="L58" s="48"/>
      <c r="M58" s="431">
        <f>SUM(E58:K58)-SUM(E57:K57)</f>
        <v>0</v>
      </c>
      <c r="O58"/>
    </row>
    <row r="59" spans="1:21" ht="19.5">
      <c r="A59" s="52">
        <f>+A58+1</f>
        <v>34</v>
      </c>
      <c r="C59" s="48" t="str">
        <f>"Functional Percentage (Ln "&amp;A58&amp;"/Total Ln "&amp;A58&amp;")"</f>
        <v>Functional Percentage (Ln 33/Total Ln 33)</v>
      </c>
      <c r="D59" s="48"/>
      <c r="E59" s="432">
        <f>IF(E58=0,0,+E58/$M$58)</f>
        <v>0</v>
      </c>
      <c r="F59" s="48"/>
      <c r="G59" s="432">
        <v>1</v>
      </c>
      <c r="H59" s="48"/>
      <c r="I59" s="432">
        <f>IF(I58=0,0,+I58/$M$58)</f>
        <v>0</v>
      </c>
      <c r="J59" s="48"/>
      <c r="K59"/>
      <c r="L59" s="48"/>
      <c r="M59" s="431"/>
      <c r="O59"/>
    </row>
    <row r="60" spans="1:21" ht="19.5">
      <c r="A60" s="52"/>
      <c r="C60" s="442" t="s">
        <v>610</v>
      </c>
      <c r="D60" s="48"/>
      <c r="E60" s="431"/>
      <c r="F60" s="48"/>
      <c r="G60" s="438"/>
      <c r="H60" s="48"/>
      <c r="I60" s="431"/>
      <c r="J60" s="48"/>
      <c r="K60" s="432"/>
      <c r="L60" s="48"/>
      <c r="M60" s="431"/>
      <c r="O60"/>
    </row>
    <row r="61" spans="1:21" ht="19.5">
      <c r="A61" s="52">
        <f>A59+1</f>
        <v>35</v>
      </c>
      <c r="C61" s="443" t="str">
        <f>"Net Plant in "&amp;C60&amp;" (Ln "&amp;A48&amp;" - Ln "&amp;A51&amp;")"</f>
        <v>Net Plant in ____________ JURISDICTION (Ln 24 - Ln 26)</v>
      </c>
      <c r="D61" s="48"/>
      <c r="E61" s="431">
        <f>+E48-E51</f>
        <v>0</v>
      </c>
      <c r="F61" s="48"/>
      <c r="G61" s="431">
        <f>+G48-G51</f>
        <v>0</v>
      </c>
      <c r="H61" s="48"/>
      <c r="I61" s="431">
        <f>+I48-I51</f>
        <v>0</v>
      </c>
      <c r="J61" s="48"/>
      <c r="K61" s="431">
        <f>+K48-K51</f>
        <v>0</v>
      </c>
      <c r="L61" s="48"/>
      <c r="M61" s="431">
        <f>SUM(E61:K61)</f>
        <v>0</v>
      </c>
      <c r="O61"/>
    </row>
    <row r="62" spans="1:21" ht="19.5">
      <c r="A62" s="52">
        <f t="shared" ref="A62:A68" si="2">+A61+1</f>
        <v>36</v>
      </c>
      <c r="C62" s="107" t="s">
        <v>540</v>
      </c>
      <c r="D62" s="48"/>
      <c r="E62" s="445"/>
      <c r="F62" s="48"/>
      <c r="G62" s="435"/>
      <c r="H62" s="48"/>
      <c r="I62" s="435"/>
      <c r="J62" s="48"/>
      <c r="K62" s="435"/>
      <c r="L62" s="48"/>
      <c r="M62" s="431"/>
      <c r="O62"/>
    </row>
    <row r="63" spans="1:21" ht="19.5">
      <c r="A63" s="52">
        <f t="shared" si="2"/>
        <v>37</v>
      </c>
      <c r="C63" s="48" t="s">
        <v>241</v>
      </c>
      <c r="D63" s="48"/>
      <c r="E63" s="431">
        <f>+E61-E62</f>
        <v>0</v>
      </c>
      <c r="F63" s="48"/>
      <c r="G63" s="431">
        <f>+G61-G62</f>
        <v>0</v>
      </c>
      <c r="H63" s="48"/>
      <c r="I63" s="431">
        <f>+I61-I62</f>
        <v>0</v>
      </c>
      <c r="J63" s="48"/>
      <c r="K63" s="431">
        <f>+K61-K62</f>
        <v>0</v>
      </c>
      <c r="L63" s="48"/>
      <c r="M63" s="431">
        <f>SUM(E63:K63)</f>
        <v>0</v>
      </c>
      <c r="O63"/>
    </row>
    <row r="64" spans="1:21" ht="19.5">
      <c r="A64" s="52">
        <f t="shared" si="2"/>
        <v>38</v>
      </c>
      <c r="C64" s="66" t="s">
        <v>240</v>
      </c>
      <c r="D64" s="48"/>
      <c r="E64" s="445"/>
      <c r="F64" s="434"/>
      <c r="G64" s="445"/>
      <c r="H64" s="434"/>
      <c r="I64" s="445"/>
      <c r="J64" s="434"/>
      <c r="K64" s="445"/>
      <c r="L64" s="48"/>
      <c r="M64" s="431"/>
      <c r="O64"/>
    </row>
    <row r="65" spans="1:15" ht="19.5">
      <c r="A65" s="52">
        <f t="shared" si="2"/>
        <v>39</v>
      </c>
      <c r="C65" s="48" t="str">
        <f>"Weighted Net Plant (Ln "&amp;A63&amp;" * Ln "&amp;A64&amp;")"</f>
        <v>Weighted Net Plant (Ln 37 * Ln 38)</v>
      </c>
      <c r="D65" s="48"/>
      <c r="E65" s="431">
        <f>+E63*E64</f>
        <v>0</v>
      </c>
      <c r="F65" s="48"/>
      <c r="G65" s="431">
        <f>+G63*G64</f>
        <v>0</v>
      </c>
      <c r="H65" s="48"/>
      <c r="I65" s="431">
        <f>+I63*I64</f>
        <v>0</v>
      </c>
      <c r="J65" s="48"/>
      <c r="K65" s="431">
        <f>+K63*K64</f>
        <v>0</v>
      </c>
      <c r="L65" s="48"/>
      <c r="M65" s="431"/>
      <c r="O65"/>
    </row>
    <row r="66" spans="1:15" ht="19.5">
      <c r="A66" s="52">
        <f t="shared" si="2"/>
        <v>40</v>
      </c>
      <c r="C66" s="48" t="str">
        <f>+"General Plant Allocator (Ln "&amp;A65&amp;" / (Total - General Plant)"</f>
        <v>General Plant Allocator (Ln 39 / (Total - General Plant)</v>
      </c>
      <c r="D66" s="48"/>
      <c r="E66" s="436">
        <f>IF(E64=0,0,+E65/($E65+$G65+$I65))</f>
        <v>0</v>
      </c>
      <c r="F66" s="48"/>
      <c r="G66" s="436">
        <v>1</v>
      </c>
      <c r="H66" s="48"/>
      <c r="I66" s="436">
        <f>IF(I64=0,0,+I65/($E65+$G65+$I65))</f>
        <v>0</v>
      </c>
      <c r="J66" s="48"/>
      <c r="K66" s="436">
        <v>-1</v>
      </c>
      <c r="L66" s="48"/>
      <c r="M66" s="431"/>
      <c r="O66"/>
    </row>
    <row r="67" spans="1:15" ht="19.5">
      <c r="A67" s="52">
        <f t="shared" si="2"/>
        <v>41</v>
      </c>
      <c r="C67" s="48" t="str">
        <f>"Functionalized General Plant (Ln "&amp;A67&amp;" * General Plant)"</f>
        <v>Functionalized General Plant (Ln 41 * General Plant)</v>
      </c>
      <c r="D67" s="48"/>
      <c r="E67" s="437">
        <f>ROUND($K65*E66,0)</f>
        <v>0</v>
      </c>
      <c r="F67" s="48"/>
      <c r="G67" s="437">
        <f>ROUND($K65*G66,0)</f>
        <v>0</v>
      </c>
      <c r="H67" s="48"/>
      <c r="I67" s="437">
        <f>ROUND($K65*I66,0)</f>
        <v>0</v>
      </c>
      <c r="J67" s="48"/>
      <c r="K67" s="437">
        <f>ROUND($K65*K66,0)</f>
        <v>0</v>
      </c>
      <c r="L67" s="48"/>
      <c r="M67" s="431"/>
      <c r="O67"/>
    </row>
    <row r="68" spans="1:15" ht="19.5">
      <c r="A68" s="52">
        <f t="shared" si="2"/>
        <v>42</v>
      </c>
      <c r="C68" s="444" t="str">
        <f>"Weighted "&amp;C60&amp;" Plant (Ln "&amp;A65&amp;" + "&amp;A67&amp;")"</f>
        <v>Weighted ____________ JURISDICTION Plant (Ln 39 + 41)</v>
      </c>
      <c r="D68" s="48"/>
      <c r="E68" s="431">
        <f>+E65+E67</f>
        <v>0</v>
      </c>
      <c r="F68" s="48"/>
      <c r="G68" s="431">
        <f>+G65+G67</f>
        <v>0</v>
      </c>
      <c r="H68" s="48"/>
      <c r="I68" s="431">
        <f>+I65+I67</f>
        <v>0</v>
      </c>
      <c r="J68" s="48"/>
      <c r="K68" s="431">
        <f>+K65+K67</f>
        <v>0</v>
      </c>
      <c r="L68" s="48"/>
      <c r="M68" s="431">
        <f>SUM(E68:K68)-SUM(E67:K67)</f>
        <v>0</v>
      </c>
      <c r="O68"/>
    </row>
    <row r="69" spans="1:15" ht="19.5">
      <c r="A69" s="52">
        <f>+A68+1</f>
        <v>43</v>
      </c>
      <c r="C69" s="48" t="str">
        <f>"Functional Percentage (Ln "&amp;A68&amp;"/Total Ln "&amp;A68&amp;")"</f>
        <v>Functional Percentage (Ln 42/Total Ln 42)</v>
      </c>
      <c r="D69" s="48"/>
      <c r="E69" s="432">
        <f>IF(E68=0,0,+E68/$M$68)</f>
        <v>0</v>
      </c>
      <c r="F69" s="48"/>
      <c r="G69" s="432">
        <v>1</v>
      </c>
      <c r="H69" s="48"/>
      <c r="I69" s="432">
        <f>IF(I68=0,0,+I68/$M$68)</f>
        <v>0</v>
      </c>
      <c r="J69"/>
      <c r="K69"/>
      <c r="L69" s="48"/>
      <c r="M69" s="431"/>
      <c r="O69"/>
    </row>
    <row r="70" spans="1:15" ht="19.5">
      <c r="A70" s="52"/>
      <c r="C70" s="48"/>
      <c r="D70" s="48"/>
      <c r="E70" s="66"/>
      <c r="F70" s="66"/>
      <c r="G70" s="66"/>
      <c r="H70" s="66"/>
      <c r="I70" s="66"/>
      <c r="J70" s="48"/>
      <c r="K70" s="439"/>
      <c r="L70" s="48"/>
      <c r="M70" s="66"/>
      <c r="O70"/>
    </row>
    <row r="71" spans="1:15" ht="19.5">
      <c r="A71" s="52"/>
      <c r="D71" s="48"/>
      <c r="E71" s="439"/>
      <c r="F71" s="48"/>
      <c r="G71" s="439"/>
      <c r="H71" s="48"/>
      <c r="I71" s="439"/>
      <c r="J71" s="48"/>
      <c r="K71" s="439"/>
      <c r="L71" s="48"/>
      <c r="M71" s="66"/>
      <c r="O71"/>
    </row>
    <row r="72" spans="1:15" ht="12.75">
      <c r="O72"/>
    </row>
    <row r="73" spans="1:15" ht="12.75">
      <c r="O73"/>
    </row>
    <row r="74" spans="1:15" ht="12.75">
      <c r="G74" s="440"/>
      <c r="O74"/>
    </row>
    <row r="215" spans="7:7" ht="15.75" thickBot="1"/>
    <row r="216" spans="7:7" ht="20.25" thickBot="1">
      <c r="G216" s="441"/>
    </row>
  </sheetData>
  <mergeCells count="7">
    <mergeCell ref="A8:M8"/>
    <mergeCell ref="A7:M7"/>
    <mergeCell ref="C46:M46"/>
    <mergeCell ref="A3:M3"/>
    <mergeCell ref="A4:M4"/>
    <mergeCell ref="A5:M5"/>
    <mergeCell ref="A6:M6"/>
  </mergeCells>
  <phoneticPr fontId="70" type="noConversion"/>
  <pageMargins left="0.82" right="1.28" top="0.81" bottom="1" header="0.75" footer="0.5"/>
  <pageSetup scale="37" orientation="portrait" r:id="rId1"/>
  <headerFooter alignWithMargins="0">
    <oddHeader>&amp;R&amp;"Arial,Bold"Formula Rate 
&amp;A
Page &amp;P of &amp;N</oddHeader>
  </headerFooter>
  <colBreaks count="1" manualBreakCount="1">
    <brk id="13" min="2" max="9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T117"/>
  <sheetViews>
    <sheetView view="pageBreakPreview" topLeftCell="A72" zoomScale="60" zoomScaleNormal="60" workbookViewId="0">
      <selection activeCell="F15" sqref="F15"/>
    </sheetView>
  </sheetViews>
  <sheetFormatPr defaultRowHeight="12.75"/>
  <cols>
    <col min="1" max="1" width="7.28515625" style="59" customWidth="1"/>
    <col min="2" max="2" width="1.7109375" style="50" customWidth="1"/>
    <col min="3" max="3" width="65" style="50" customWidth="1"/>
    <col min="4" max="4" width="19.140625" style="50" customWidth="1"/>
    <col min="5" max="5" width="20.42578125" style="55" customWidth="1"/>
    <col min="6" max="6" width="20.42578125" style="50" bestFit="1" customWidth="1"/>
    <col min="7" max="7" width="35.7109375" style="50" bestFit="1" customWidth="1"/>
    <col min="8" max="8" width="17.7109375" style="50" customWidth="1"/>
    <col min="9" max="9" width="22.42578125" style="50" customWidth="1"/>
    <col min="10" max="16384" width="9.140625" style="50"/>
  </cols>
  <sheetData>
    <row r="1" spans="1:20" ht="15.75">
      <c r="A1" s="730" t="s">
        <v>406</v>
      </c>
    </row>
    <row r="2" spans="1:20" ht="15.75">
      <c r="A2" s="730" t="s">
        <v>406</v>
      </c>
    </row>
    <row r="3" spans="1:20" ht="18.75" customHeight="1">
      <c r="A3" s="1148" t="str">
        <f>TCOS!$F$5</f>
        <v>AEPTCo subsidiaries in PJM</v>
      </c>
      <c r="B3" s="1148" t="str">
        <f>TCOS!$F$5</f>
        <v>AEPTCo subsidiaries in PJM</v>
      </c>
      <c r="C3" s="1148" t="str">
        <f>TCOS!$F$5</f>
        <v>AEPTCo subsidiaries in PJM</v>
      </c>
      <c r="D3" s="1148" t="str">
        <f>TCOS!$F$5</f>
        <v>AEPTCo subsidiaries in PJM</v>
      </c>
      <c r="E3" s="1148" t="str">
        <f>TCOS!$F$5</f>
        <v>AEPTCo subsidiaries in PJM</v>
      </c>
      <c r="F3" s="1188"/>
      <c r="G3" s="1188"/>
    </row>
    <row r="4" spans="1:20" ht="18.75" customHeight="1">
      <c r="A4" s="1148" t="str">
        <f>"Cost of Service Formula Rate Using Actual/Projected FF1 Balances"</f>
        <v>Cost of Service Formula Rate Using Actual/Projected FF1 Balances</v>
      </c>
      <c r="B4" s="1148"/>
      <c r="C4" s="1148"/>
      <c r="D4" s="1148"/>
      <c r="E4" s="1148"/>
      <c r="F4" s="1188"/>
      <c r="G4" s="1188"/>
      <c r="H4" s="1148"/>
      <c r="I4" s="1148"/>
      <c r="J4" s="1148"/>
      <c r="K4" s="1148"/>
      <c r="L4" s="1148"/>
      <c r="M4" s="1188"/>
    </row>
    <row r="5" spans="1:20" ht="18.75" customHeight="1">
      <c r="A5" s="1149" t="s">
        <v>246</v>
      </c>
      <c r="B5" s="1149"/>
      <c r="C5" s="1149"/>
      <c r="D5" s="1149"/>
      <c r="E5" s="1149"/>
      <c r="F5" s="1188"/>
      <c r="G5" s="1188"/>
    </row>
    <row r="6" spans="1:20" ht="18" customHeight="1">
      <c r="A6" s="1190" t="str">
        <f>+TCOS!F9</f>
        <v>AEP Ohio Transmission Company</v>
      </c>
      <c r="B6" s="1190"/>
      <c r="C6" s="1190"/>
      <c r="D6" s="1190"/>
      <c r="E6" s="1190"/>
      <c r="F6" s="1131"/>
      <c r="G6" s="1131"/>
      <c r="H6" s="106"/>
      <c r="I6" s="106"/>
      <c r="J6" s="106"/>
      <c r="K6" s="106"/>
      <c r="L6" s="106"/>
      <c r="M6" s="106"/>
    </row>
    <row r="7" spans="1:20" ht="18" customHeight="1">
      <c r="A7" s="67"/>
      <c r="B7" s="67"/>
      <c r="C7" s="67"/>
      <c r="D7" s="67"/>
      <c r="E7" s="67"/>
      <c r="F7" s="67"/>
    </row>
    <row r="8" spans="1:20" ht="19.5" customHeight="1">
      <c r="A8" s="52"/>
      <c r="B8" s="51"/>
      <c r="C8" s="15" t="s">
        <v>452</v>
      </c>
      <c r="E8" s="15" t="s">
        <v>453</v>
      </c>
      <c r="F8" s="15" t="s">
        <v>454</v>
      </c>
      <c r="G8" s="15" t="s">
        <v>455</v>
      </c>
    </row>
    <row r="9" spans="1:20" ht="18">
      <c r="A9" s="80"/>
      <c r="B9" s="81"/>
      <c r="C9" s="81"/>
      <c r="D9" s="81"/>
      <c r="E9"/>
      <c r="F9"/>
      <c r="G9" s="17"/>
      <c r="H9" s="17"/>
      <c r="I9" s="17"/>
      <c r="J9" s="17"/>
      <c r="K9" s="17"/>
      <c r="L9" s="17"/>
      <c r="M9" s="17"/>
      <c r="N9" s="17"/>
      <c r="O9" s="17"/>
      <c r="P9" s="17"/>
      <c r="Q9" s="17"/>
      <c r="R9" s="17"/>
      <c r="S9" s="17"/>
      <c r="T9" s="17"/>
    </row>
    <row r="10" spans="1:20" ht="18">
      <c r="A10" s="80" t="s">
        <v>459</v>
      </c>
      <c r="B10" s="81"/>
      <c r="C10" s="81"/>
      <c r="D10" s="81"/>
      <c r="E10" s="82" t="s">
        <v>410</v>
      </c>
      <c r="F10" s="80" t="s">
        <v>2</v>
      </c>
    </row>
    <row r="11" spans="1:20" ht="18">
      <c r="A11" s="83" t="s">
        <v>409</v>
      </c>
      <c r="B11" s="99"/>
      <c r="C11" s="83" t="s">
        <v>260</v>
      </c>
      <c r="D11" s="99"/>
      <c r="E11" s="84" t="s">
        <v>473</v>
      </c>
      <c r="F11" s="83" t="s">
        <v>3</v>
      </c>
      <c r="G11" s="84" t="s">
        <v>4</v>
      </c>
    </row>
    <row r="12" spans="1:20" ht="18">
      <c r="A12" s="52"/>
      <c r="B12" s="51"/>
      <c r="C12" s="49"/>
      <c r="D12" s="49"/>
      <c r="E12" s="49"/>
      <c r="F12" s="80"/>
      <c r="G12" s="82"/>
    </row>
    <row r="13" spans="1:20" ht="19.5">
      <c r="A13" s="52">
        <v>1</v>
      </c>
      <c r="B13" s="51"/>
      <c r="C13" s="53" t="s">
        <v>118</v>
      </c>
      <c r="D13" s="51"/>
      <c r="E13" s="48"/>
      <c r="F13" s="51"/>
    </row>
    <row r="14" spans="1:20" ht="19.5">
      <c r="A14" s="52">
        <f>+A13+1</f>
        <v>2</v>
      </c>
      <c r="B14" s="51"/>
      <c r="C14" s="48" t="s">
        <v>103</v>
      </c>
      <c r="D14" s="51"/>
      <c r="E14" s="66">
        <f>SUM(F15:F21)</f>
        <v>3960.0000000000005</v>
      </c>
      <c r="F14" s="48"/>
    </row>
    <row r="15" spans="1:20" ht="19.5">
      <c r="A15" s="52"/>
      <c r="B15" s="51"/>
      <c r="C15" s="48"/>
      <c r="D15" s="51"/>
      <c r="E15" s="100"/>
      <c r="F15" s="446">
        <v>3960.0000000000005</v>
      </c>
      <c r="G15" s="101"/>
    </row>
    <row r="16" spans="1:20" ht="19.5">
      <c r="A16" s="52"/>
      <c r="B16" s="51"/>
      <c r="C16" s="48"/>
      <c r="D16" s="51"/>
      <c r="E16" s="100"/>
      <c r="F16" s="446"/>
      <c r="G16" s="101"/>
    </row>
    <row r="17" spans="1:9" ht="19.5">
      <c r="A17" s="52"/>
      <c r="B17" s="51"/>
      <c r="C17" s="48"/>
      <c r="D17" s="51"/>
      <c r="E17" s="100"/>
      <c r="F17" s="446"/>
      <c r="G17" s="101"/>
    </row>
    <row r="18" spans="1:9" ht="19.5">
      <c r="A18" s="775"/>
      <c r="B18" s="736"/>
      <c r="C18" s="734"/>
      <c r="D18" s="736"/>
      <c r="E18" s="733"/>
      <c r="F18" s="732"/>
      <c r="G18" s="731"/>
      <c r="H18" s="735"/>
      <c r="I18" s="735"/>
    </row>
    <row r="19" spans="1:9" ht="18">
      <c r="A19" s="52"/>
      <c r="B19" s="51"/>
      <c r="C19" s="916" t="s">
        <v>452</v>
      </c>
      <c r="D19" s="916" t="s">
        <v>453</v>
      </c>
      <c r="E19" s="916" t="s">
        <v>454</v>
      </c>
      <c r="F19" s="916" t="s">
        <v>455</v>
      </c>
      <c r="G19" s="916" t="s">
        <v>375</v>
      </c>
      <c r="H19" s="917" t="s">
        <v>376</v>
      </c>
      <c r="I19" s="916" t="s">
        <v>377</v>
      </c>
    </row>
    <row r="20" spans="1:9" ht="47.25">
      <c r="A20" s="52"/>
      <c r="B20" s="51"/>
      <c r="C20" s="918" t="s">
        <v>692</v>
      </c>
      <c r="D20" s="919" t="s">
        <v>688</v>
      </c>
      <c r="E20" s="919" t="s">
        <v>689</v>
      </c>
      <c r="F20" s="919" t="s">
        <v>690</v>
      </c>
      <c r="G20" s="919" t="s">
        <v>4</v>
      </c>
      <c r="H20" s="920" t="s">
        <v>691</v>
      </c>
      <c r="I20" s="920" t="s">
        <v>693</v>
      </c>
    </row>
    <row r="21" spans="1:9" ht="19.5">
      <c r="A21" s="52"/>
      <c r="B21" s="51"/>
      <c r="C21" s="48"/>
      <c r="D21" s="51"/>
      <c r="E21" s="66"/>
      <c r="F21" s="738"/>
    </row>
    <row r="22" spans="1:9" ht="58.5">
      <c r="A22" s="52">
        <f>+A14+1</f>
        <v>3</v>
      </c>
      <c r="B22" s="51"/>
      <c r="C22" s="915" t="str">
        <f>"Real Estate and Personal Property Taxes Total
 (Ln "&amp;A23&amp;" + Ln "&amp;A30 &amp;" + Ln "&amp;A37&amp;" + Ln "&amp;A40&amp;")"</f>
        <v>Real Estate and Personal Property Taxes Total
 (Ln 4 + Ln 5 + Ln 6 + Ln 7)</v>
      </c>
      <c r="D22" s="51"/>
      <c r="E22" s="776">
        <f>E23+E30+E37+E40</f>
        <v>274819999.99999994</v>
      </c>
      <c r="F22" s="66"/>
      <c r="G22" s="48"/>
      <c r="I22" s="776">
        <f>I23+I30+I37+I40</f>
        <v>274819999.99999994</v>
      </c>
    </row>
    <row r="23" spans="1:9" ht="19.5">
      <c r="A23" s="52">
        <f>+A22+1</f>
        <v>4</v>
      </c>
      <c r="B23" s="51"/>
      <c r="C23" s="51" t="s">
        <v>800</v>
      </c>
      <c r="D23" s="51"/>
      <c r="E23" s="66">
        <f>SUM(F24:F29)</f>
        <v>274819999.99999994</v>
      </c>
      <c r="F23" s="100"/>
      <c r="G23" s="48"/>
      <c r="I23" s="66">
        <f>SUM(I24:I29)</f>
        <v>274819999.99999994</v>
      </c>
    </row>
    <row r="24" spans="1:9" ht="19.5">
      <c r="A24" s="52"/>
      <c r="B24" s="51"/>
      <c r="C24" s="51"/>
      <c r="D24" s="51"/>
      <c r="E24" s="66"/>
      <c r="F24" s="446">
        <v>274819999.99999994</v>
      </c>
      <c r="G24" s="740"/>
      <c r="H24" s="739">
        <v>1</v>
      </c>
      <c r="I24" s="738">
        <f t="shared" ref="I24:I29" si="0">F24*H24</f>
        <v>274819999.99999994</v>
      </c>
    </row>
    <row r="25" spans="1:9" ht="19.5">
      <c r="A25" s="52"/>
      <c r="B25" s="51"/>
      <c r="C25" s="51"/>
      <c r="D25" s="51"/>
      <c r="E25" s="66"/>
      <c r="F25" s="446"/>
      <c r="G25" s="740"/>
      <c r="H25" s="446"/>
      <c r="I25" s="738">
        <f t="shared" si="0"/>
        <v>0</v>
      </c>
    </row>
    <row r="26" spans="1:9" ht="19.5">
      <c r="A26" s="52"/>
      <c r="B26" s="51"/>
      <c r="C26" s="51"/>
      <c r="D26" s="51"/>
      <c r="E26" s="66"/>
      <c r="F26" s="446"/>
      <c r="G26" s="740"/>
      <c r="H26" s="446"/>
      <c r="I26" s="738">
        <f t="shared" si="0"/>
        <v>0</v>
      </c>
    </row>
    <row r="27" spans="1:9" ht="19.5">
      <c r="A27" s="52"/>
      <c r="B27" s="51"/>
      <c r="C27" s="51"/>
      <c r="D27" s="51"/>
      <c r="E27" s="66"/>
      <c r="F27" s="446"/>
      <c r="G27" s="740"/>
      <c r="H27" s="446"/>
      <c r="I27" s="738">
        <f t="shared" si="0"/>
        <v>0</v>
      </c>
    </row>
    <row r="28" spans="1:9" ht="19.5">
      <c r="A28" s="52"/>
      <c r="B28" s="51"/>
      <c r="C28" s="51"/>
      <c r="D28" s="51"/>
      <c r="E28" s="66"/>
      <c r="F28" s="446"/>
      <c r="G28" s="740"/>
      <c r="H28" s="446"/>
      <c r="I28" s="738">
        <f t="shared" si="0"/>
        <v>0</v>
      </c>
    </row>
    <row r="29" spans="1:9" ht="19.5">
      <c r="A29" s="52"/>
      <c r="B29" s="51"/>
      <c r="C29" s="51"/>
      <c r="D29" s="51"/>
      <c r="E29" s="66"/>
      <c r="F29" s="446"/>
      <c r="G29" s="740"/>
      <c r="H29" s="446"/>
      <c r="I29" s="738">
        <f t="shared" si="0"/>
        <v>0</v>
      </c>
    </row>
    <row r="30" spans="1:9" ht="19.5">
      <c r="A30" s="52">
        <f>+A23+1</f>
        <v>5</v>
      </c>
      <c r="B30" s="51"/>
      <c r="C30" s="51" t="s">
        <v>608</v>
      </c>
      <c r="D30" s="51"/>
      <c r="E30" s="66">
        <f>SUM(F31:F36)</f>
        <v>0</v>
      </c>
      <c r="F30" s="66"/>
      <c r="G30" s="48"/>
      <c r="I30" s="440">
        <f>SUM(I31:I36)</f>
        <v>0</v>
      </c>
    </row>
    <row r="31" spans="1:9" ht="19.5">
      <c r="A31" s="52"/>
      <c r="B31" s="51"/>
      <c r="C31" s="51"/>
      <c r="D31" s="51"/>
      <c r="E31" s="66"/>
      <c r="F31" s="446">
        <v>0</v>
      </c>
      <c r="G31" s="740"/>
      <c r="H31" s="739"/>
      <c r="I31" s="738">
        <f t="shared" ref="I31:I36" si="1">F31*H31</f>
        <v>0</v>
      </c>
    </row>
    <row r="32" spans="1:9" ht="19.5">
      <c r="A32" s="52"/>
      <c r="B32" s="51"/>
      <c r="C32" s="51"/>
      <c r="D32" s="51"/>
      <c r="E32" s="66"/>
      <c r="F32" s="446"/>
      <c r="G32" s="740"/>
      <c r="H32" s="446"/>
      <c r="I32" s="738">
        <f t="shared" si="1"/>
        <v>0</v>
      </c>
    </row>
    <row r="33" spans="1:9" ht="19.5">
      <c r="A33" s="52"/>
      <c r="B33" s="51"/>
      <c r="C33" s="51"/>
      <c r="D33" s="51"/>
      <c r="E33" s="66"/>
      <c r="F33" s="446"/>
      <c r="G33" s="740"/>
      <c r="H33" s="446"/>
      <c r="I33" s="738">
        <f t="shared" si="1"/>
        <v>0</v>
      </c>
    </row>
    <row r="34" spans="1:9" ht="19.5">
      <c r="A34" s="52"/>
      <c r="B34" s="51"/>
      <c r="C34" s="51"/>
      <c r="D34" s="51"/>
      <c r="E34" s="66"/>
      <c r="F34" s="446"/>
      <c r="G34" s="740"/>
      <c r="H34" s="446"/>
      <c r="I34" s="738">
        <f t="shared" si="1"/>
        <v>0</v>
      </c>
    </row>
    <row r="35" spans="1:9" ht="19.5">
      <c r="A35" s="52"/>
      <c r="B35" s="51"/>
      <c r="C35" s="51"/>
      <c r="D35" s="51"/>
      <c r="E35" s="66"/>
      <c r="F35" s="446"/>
      <c r="G35" s="740"/>
      <c r="H35" s="446"/>
      <c r="I35" s="738">
        <f t="shared" si="1"/>
        <v>0</v>
      </c>
    </row>
    <row r="36" spans="1:9" ht="19.5">
      <c r="A36" s="52"/>
      <c r="B36" s="51"/>
      <c r="C36" s="51"/>
      <c r="D36" s="51"/>
      <c r="E36" s="66"/>
      <c r="F36" s="446"/>
      <c r="G36" s="740"/>
      <c r="H36" s="446"/>
      <c r="I36" s="738">
        <f t="shared" si="1"/>
        <v>0</v>
      </c>
    </row>
    <row r="37" spans="1:9" ht="19.5">
      <c r="A37" s="52">
        <f>+A30+1</f>
        <v>6</v>
      </c>
      <c r="B37" s="51"/>
      <c r="C37" s="51" t="s">
        <v>609</v>
      </c>
      <c r="D37" s="51"/>
      <c r="E37" s="66">
        <f>+F38+F39</f>
        <v>0</v>
      </c>
      <c r="F37" s="48"/>
      <c r="I37" s="440">
        <f>SUM(I38:I39)</f>
        <v>0</v>
      </c>
    </row>
    <row r="38" spans="1:9" ht="19.5">
      <c r="A38" s="52"/>
      <c r="B38" s="51"/>
      <c r="C38" s="51"/>
      <c r="D38" s="51"/>
      <c r="E38" s="66"/>
      <c r="F38" s="446">
        <v>0</v>
      </c>
      <c r="G38" s="740"/>
      <c r="H38" s="739"/>
      <c r="I38" s="738">
        <f>F38*H38</f>
        <v>0</v>
      </c>
    </row>
    <row r="39" spans="1:9" ht="19.5">
      <c r="A39" s="52"/>
      <c r="B39" s="51"/>
      <c r="C39" s="51"/>
      <c r="D39" s="51"/>
      <c r="E39" s="66"/>
      <c r="F39" s="446"/>
      <c r="G39" s="740"/>
      <c r="H39" s="446"/>
      <c r="I39" s="738">
        <f>F39*H39</f>
        <v>0</v>
      </c>
    </row>
    <row r="40" spans="1:9" ht="19.5">
      <c r="A40" s="52">
        <f>+A37+1</f>
        <v>7</v>
      </c>
      <c r="B40" s="51"/>
      <c r="C40" s="51" t="s">
        <v>243</v>
      </c>
      <c r="D40" s="89"/>
      <c r="E40" s="66">
        <f>+F41</f>
        <v>0</v>
      </c>
      <c r="F40" s="51"/>
      <c r="I40" s="440">
        <f>SUM(I41)</f>
        <v>0</v>
      </c>
    </row>
    <row r="41" spans="1:9" ht="19.5">
      <c r="A41" s="52"/>
      <c r="B41" s="51"/>
      <c r="C41" s="51"/>
      <c r="D41" s="89"/>
      <c r="E41" s="66"/>
      <c r="F41" s="446">
        <v>0</v>
      </c>
      <c r="G41" s="740"/>
      <c r="H41" s="446"/>
      <c r="I41" s="738">
        <f>F41*H41</f>
        <v>0</v>
      </c>
    </row>
    <row r="42" spans="1:9" ht="19.5">
      <c r="A42" s="775"/>
      <c r="B42" s="736"/>
      <c r="C42" s="736"/>
      <c r="D42" s="737"/>
      <c r="E42" s="776"/>
      <c r="F42" s="736"/>
      <c r="G42" s="735"/>
      <c r="H42" s="735"/>
      <c r="I42" s="735"/>
    </row>
    <row r="43" spans="1:9" ht="23.25" customHeight="1">
      <c r="A43" s="52"/>
      <c r="B43" s="51"/>
      <c r="C43" s="51"/>
      <c r="D43" s="89"/>
      <c r="E43" s="66"/>
      <c r="F43" s="51"/>
    </row>
    <row r="44" spans="1:9" ht="18">
      <c r="A44" s="52"/>
      <c r="B44" s="51"/>
      <c r="C44" s="15" t="s">
        <v>452</v>
      </c>
      <c r="E44" s="15" t="s">
        <v>453</v>
      </c>
      <c r="F44" s="15" t="s">
        <v>454</v>
      </c>
      <c r="G44" s="15" t="s">
        <v>455</v>
      </c>
    </row>
    <row r="45" spans="1:9" ht="18">
      <c r="A45" s="80"/>
      <c r="B45" s="81"/>
      <c r="C45" s="81"/>
      <c r="D45" s="81"/>
      <c r="E45"/>
      <c r="F45"/>
      <c r="G45" s="17"/>
    </row>
    <row r="46" spans="1:9" ht="18">
      <c r="A46" s="80" t="s">
        <v>459</v>
      </c>
      <c r="B46" s="81"/>
      <c r="C46" s="81"/>
      <c r="D46" s="81"/>
      <c r="E46" s="82" t="s">
        <v>410</v>
      </c>
      <c r="F46" s="80" t="s">
        <v>2</v>
      </c>
    </row>
    <row r="47" spans="1:9" ht="18">
      <c r="A47" s="83" t="s">
        <v>409</v>
      </c>
      <c r="B47" s="99"/>
      <c r="C47" s="83" t="s">
        <v>260</v>
      </c>
      <c r="D47" s="99"/>
      <c r="E47" s="84" t="s">
        <v>473</v>
      </c>
      <c r="F47" s="83" t="s">
        <v>3</v>
      </c>
      <c r="G47" s="84" t="s">
        <v>4</v>
      </c>
    </row>
    <row r="48" spans="1:9" ht="19.5">
      <c r="A48" s="52"/>
      <c r="B48" s="51"/>
      <c r="C48" s="54"/>
      <c r="D48" s="51"/>
      <c r="E48" s="48"/>
    </row>
    <row r="49" spans="1:7" ht="19.5">
      <c r="A49" s="52">
        <f>+A40+1</f>
        <v>8</v>
      </c>
      <c r="B49" s="51"/>
      <c r="C49" s="53" t="s">
        <v>120</v>
      </c>
      <c r="D49" s="51"/>
      <c r="E49" s="48"/>
      <c r="F49" s="102"/>
      <c r="G49" s="48"/>
    </row>
    <row r="50" spans="1:7" ht="19.5">
      <c r="A50" s="52">
        <f>+A49+1</f>
        <v>9</v>
      </c>
      <c r="B50" s="51"/>
      <c r="C50" s="51" t="s">
        <v>116</v>
      </c>
      <c r="D50" s="51"/>
      <c r="E50" s="66">
        <f>+F51</f>
        <v>0</v>
      </c>
      <c r="F50" s="48"/>
      <c r="G50" s="48"/>
    </row>
    <row r="51" spans="1:7" ht="19.5">
      <c r="A51" s="52"/>
      <c r="B51" s="51"/>
      <c r="C51" s="51"/>
      <c r="D51" s="51"/>
      <c r="E51" s="66"/>
      <c r="F51" s="446">
        <v>0</v>
      </c>
      <c r="G51" s="101"/>
    </row>
    <row r="52" spans="1:7" ht="19.5">
      <c r="A52" s="52">
        <f>+A50+1</f>
        <v>10</v>
      </c>
      <c r="B52" s="51"/>
      <c r="C52" s="51" t="s">
        <v>109</v>
      </c>
      <c r="D52" s="51"/>
      <c r="E52" s="66">
        <f>+F53</f>
        <v>0</v>
      </c>
      <c r="F52" s="48"/>
      <c r="G52" s="48"/>
    </row>
    <row r="53" spans="1:7" ht="19.5">
      <c r="A53" s="52"/>
      <c r="B53" s="51"/>
      <c r="C53" s="51"/>
      <c r="D53" s="51"/>
      <c r="E53" s="66"/>
      <c r="F53" s="446"/>
      <c r="G53" s="101"/>
    </row>
    <row r="54" spans="1:7" ht="19.5">
      <c r="A54" s="52">
        <f>+A52+1</f>
        <v>11</v>
      </c>
      <c r="B54" s="51"/>
      <c r="C54" s="51" t="s">
        <v>110</v>
      </c>
      <c r="D54" s="51"/>
      <c r="E54" s="66">
        <f>+F55+F56+F57</f>
        <v>0</v>
      </c>
      <c r="F54" s="48"/>
      <c r="G54" s="48"/>
    </row>
    <row r="55" spans="1:7" ht="19.5">
      <c r="A55" s="52" t="s">
        <v>406</v>
      </c>
      <c r="B55" s="51"/>
      <c r="C55" s="48"/>
      <c r="D55" s="51"/>
      <c r="E55" s="48"/>
      <c r="F55" s="446"/>
      <c r="G55" s="101"/>
    </row>
    <row r="56" spans="1:7" ht="19.5">
      <c r="A56" s="52"/>
      <c r="B56" s="51"/>
      <c r="C56" s="48"/>
      <c r="D56" s="51"/>
      <c r="E56" s="48"/>
      <c r="F56" s="446"/>
      <c r="G56" s="101"/>
    </row>
    <row r="57" spans="1:7" ht="19.5">
      <c r="A57" s="52"/>
      <c r="B57" s="51"/>
      <c r="C57" s="48"/>
      <c r="D57" s="51"/>
      <c r="E57" s="48"/>
      <c r="F57" s="446"/>
      <c r="G57" s="101"/>
    </row>
    <row r="58" spans="1:7" ht="19.5">
      <c r="A58" s="52">
        <f>A54+1</f>
        <v>12</v>
      </c>
      <c r="B58" s="51"/>
      <c r="C58" s="108" t="s">
        <v>315</v>
      </c>
      <c r="D58" s="51"/>
      <c r="E58" s="107"/>
      <c r="F58" s="48"/>
      <c r="G58" s="48"/>
    </row>
    <row r="59" spans="1:7" ht="19.5">
      <c r="A59" s="52">
        <f>A58+1</f>
        <v>13</v>
      </c>
      <c r="B59" s="51"/>
      <c r="C59" s="48" t="s">
        <v>214</v>
      </c>
      <c r="D59" s="89"/>
      <c r="E59" s="66">
        <f>+F60</f>
        <v>0</v>
      </c>
      <c r="G59" s="48"/>
    </row>
    <row r="60" spans="1:7" ht="19.5">
      <c r="A60" s="52"/>
      <c r="B60" s="51"/>
      <c r="C60" s="48"/>
      <c r="D60" s="51"/>
      <c r="E60" s="48"/>
      <c r="F60" s="446"/>
      <c r="G60" s="48"/>
    </row>
    <row r="61" spans="1:7" ht="19.5">
      <c r="A61" s="56">
        <f>A59+1</f>
        <v>14</v>
      </c>
      <c r="B61" s="57"/>
      <c r="C61" s="53" t="s">
        <v>117</v>
      </c>
      <c r="D61" s="58"/>
      <c r="E61" s="48"/>
      <c r="F61" s="100"/>
      <c r="G61" s="48"/>
    </row>
    <row r="62" spans="1:7" ht="19.5">
      <c r="A62" s="56">
        <f>A61+1</f>
        <v>15</v>
      </c>
      <c r="B62" s="57"/>
      <c r="C62" s="48" t="s">
        <v>213</v>
      </c>
      <c r="D62" s="58"/>
      <c r="E62" s="66">
        <f>+F63+F64</f>
        <v>0</v>
      </c>
      <c r="F62" s="48"/>
      <c r="G62" s="48"/>
    </row>
    <row r="63" spans="1:7" ht="19.5">
      <c r="A63" s="56"/>
      <c r="B63" s="57"/>
      <c r="C63" s="48"/>
      <c r="D63" s="58"/>
      <c r="E63" s="66"/>
      <c r="F63" s="446"/>
      <c r="G63" s="101"/>
    </row>
    <row r="64" spans="1:7" ht="19.5">
      <c r="A64" s="56"/>
      <c r="B64" s="57"/>
      <c r="C64" s="48"/>
      <c r="D64" s="58"/>
      <c r="E64" s="66"/>
      <c r="F64" s="446"/>
      <c r="G64" s="101"/>
    </row>
    <row r="65" spans="1:7" ht="19.5">
      <c r="A65" s="52">
        <f>A62+1</f>
        <v>16</v>
      </c>
      <c r="B65" s="51"/>
      <c r="C65" s="48" t="s">
        <v>111</v>
      </c>
      <c r="D65" s="51"/>
      <c r="E65" s="66">
        <f>+F66+F67+F68</f>
        <v>0</v>
      </c>
      <c r="F65" s="48"/>
      <c r="G65" s="48"/>
    </row>
    <row r="66" spans="1:7" ht="19.5">
      <c r="A66" s="52"/>
      <c r="B66" s="51"/>
      <c r="C66" s="48"/>
      <c r="D66" s="51"/>
      <c r="E66" s="66"/>
      <c r="F66" s="446"/>
      <c r="G66" s="101"/>
    </row>
    <row r="67" spans="1:7" ht="19.5">
      <c r="A67" s="52"/>
      <c r="B67" s="51"/>
      <c r="C67" s="48"/>
      <c r="D67" s="51"/>
      <c r="E67" s="66"/>
      <c r="F67" s="446"/>
      <c r="G67" s="101"/>
    </row>
    <row r="68" spans="1:7" ht="19.5">
      <c r="A68" s="52"/>
      <c r="B68" s="51"/>
      <c r="C68" s="48"/>
      <c r="D68" s="51"/>
      <c r="E68" s="66"/>
      <c r="F68" s="446"/>
      <c r="G68" s="101"/>
    </row>
    <row r="69" spans="1:7" ht="19.5">
      <c r="A69" s="52">
        <f>+A65+1</f>
        <v>17</v>
      </c>
      <c r="B69" s="51"/>
      <c r="C69" s="48" t="s">
        <v>112</v>
      </c>
      <c r="D69"/>
      <c r="E69" s="66">
        <f>SUM(F70:F80)</f>
        <v>0</v>
      </c>
      <c r="F69" s="48"/>
      <c r="G69" s="48"/>
    </row>
    <row r="70" spans="1:7" ht="19.5">
      <c r="A70" s="52"/>
      <c r="B70" s="51"/>
      <c r="C70" s="48"/>
      <c r="D70"/>
      <c r="E70" s="66"/>
      <c r="F70" s="446"/>
      <c r="G70" s="101"/>
    </row>
    <row r="71" spans="1:7" ht="19.5">
      <c r="A71" s="52"/>
      <c r="B71" s="51"/>
      <c r="C71" s="48"/>
      <c r="D71"/>
      <c r="E71" s="66"/>
      <c r="F71" s="446"/>
      <c r="G71" s="101"/>
    </row>
    <row r="72" spans="1:7" ht="19.5">
      <c r="A72" s="52"/>
      <c r="B72" s="51"/>
      <c r="C72" s="48"/>
      <c r="D72"/>
      <c r="E72" s="66"/>
      <c r="F72" s="446"/>
      <c r="G72" s="101"/>
    </row>
    <row r="73" spans="1:7" ht="19.5">
      <c r="A73" s="52"/>
      <c r="B73" s="51"/>
      <c r="C73" s="48"/>
      <c r="D73"/>
      <c r="E73" s="66"/>
      <c r="F73" s="446"/>
      <c r="G73" s="101"/>
    </row>
    <row r="74" spans="1:7" ht="19.5">
      <c r="A74" s="52"/>
      <c r="B74" s="51"/>
      <c r="C74" s="48"/>
      <c r="D74"/>
      <c r="E74" s="66"/>
      <c r="F74" s="446"/>
      <c r="G74" s="101"/>
    </row>
    <row r="75" spans="1:7" ht="19.5">
      <c r="A75" s="52"/>
      <c r="B75" s="51"/>
      <c r="C75" s="48"/>
      <c r="D75"/>
      <c r="E75" s="66"/>
      <c r="F75" s="446"/>
      <c r="G75" s="101"/>
    </row>
    <row r="76" spans="1:7" ht="19.5">
      <c r="A76" s="52"/>
      <c r="B76" s="51"/>
      <c r="C76" s="48"/>
      <c r="D76"/>
      <c r="E76" s="66"/>
      <c r="F76" s="446"/>
      <c r="G76" s="101"/>
    </row>
    <row r="77" spans="1:7" ht="19.5">
      <c r="A77" s="52"/>
      <c r="B77" s="51"/>
      <c r="C77" s="48"/>
      <c r="D77"/>
      <c r="E77" s="66"/>
      <c r="F77" s="446"/>
      <c r="G77" s="101"/>
    </row>
    <row r="78" spans="1:7" ht="19.5">
      <c r="A78" s="52"/>
      <c r="B78" s="51"/>
      <c r="C78" s="48"/>
      <c r="D78"/>
      <c r="E78" s="66"/>
      <c r="F78" s="446"/>
      <c r="G78" s="101"/>
    </row>
    <row r="79" spans="1:7" ht="19.5">
      <c r="A79" s="52"/>
      <c r="B79" s="51"/>
      <c r="C79" s="48"/>
      <c r="D79"/>
      <c r="E79" s="66"/>
      <c r="F79" s="446"/>
      <c r="G79" s="101"/>
    </row>
    <row r="80" spans="1:7" ht="19.5">
      <c r="A80" s="52"/>
      <c r="B80" s="51"/>
      <c r="C80" s="48"/>
      <c r="D80"/>
      <c r="E80" s="66"/>
      <c r="F80" s="446"/>
      <c r="G80" s="101"/>
    </row>
    <row r="81" spans="1:7" ht="19.5">
      <c r="A81" s="52">
        <f>+A69+1</f>
        <v>18</v>
      </c>
      <c r="B81" s="51"/>
      <c r="C81" s="48" t="s">
        <v>113</v>
      </c>
      <c r="D81"/>
      <c r="E81" s="66">
        <f>SUM(F82:F85)</f>
        <v>0</v>
      </c>
      <c r="F81" s="48"/>
      <c r="G81" s="48"/>
    </row>
    <row r="82" spans="1:7" ht="19.5">
      <c r="A82" s="52"/>
      <c r="B82" s="51"/>
      <c r="C82" s="48"/>
      <c r="D82"/>
      <c r="E82" s="66"/>
      <c r="F82" s="446"/>
      <c r="G82" s="101"/>
    </row>
    <row r="83" spans="1:7" ht="19.5">
      <c r="A83" s="52"/>
      <c r="B83" s="51"/>
      <c r="C83" s="48"/>
      <c r="D83"/>
      <c r="E83" s="66"/>
      <c r="F83" s="446"/>
      <c r="G83" s="101"/>
    </row>
    <row r="84" spans="1:7" ht="19.5">
      <c r="A84" s="52"/>
      <c r="B84" s="51"/>
      <c r="C84" s="48"/>
      <c r="D84"/>
      <c r="E84" s="66"/>
      <c r="F84" s="446"/>
      <c r="G84" s="101"/>
    </row>
    <row r="85" spans="1:7" ht="19.5">
      <c r="A85" s="52"/>
      <c r="B85" s="51"/>
      <c r="C85" s="48"/>
      <c r="D85"/>
      <c r="E85" s="66"/>
      <c r="F85" s="1079"/>
      <c r="G85" s="101"/>
    </row>
    <row r="86" spans="1:7" ht="19.5">
      <c r="A86" s="52">
        <f>+A81+1</f>
        <v>19</v>
      </c>
      <c r="B86" s="51"/>
      <c r="C86" s="48" t="s">
        <v>114</v>
      </c>
      <c r="D86" s="51"/>
      <c r="E86" s="66">
        <f>F87</f>
        <v>0</v>
      </c>
      <c r="F86" s="48"/>
      <c r="G86" s="48"/>
    </row>
    <row r="87" spans="1:7" ht="19.5">
      <c r="A87" s="52"/>
      <c r="B87" s="51"/>
      <c r="C87" s="48"/>
      <c r="D87" s="51"/>
      <c r="E87" s="66"/>
      <c r="F87" s="446"/>
      <c r="G87" s="101"/>
    </row>
    <row r="88" spans="1:7" ht="19.5">
      <c r="A88" s="52"/>
      <c r="B88" s="51"/>
      <c r="C88" s="48"/>
      <c r="D88" s="51"/>
      <c r="E88" s="66"/>
      <c r="F88" s="124"/>
      <c r="G88" s="48"/>
    </row>
    <row r="89" spans="1:7" ht="19.5">
      <c r="A89" s="52">
        <f>+A86+1</f>
        <v>20</v>
      </c>
      <c r="B89" s="51"/>
      <c r="C89" s="48" t="s">
        <v>115</v>
      </c>
      <c r="D89" s="51"/>
      <c r="E89" s="66">
        <f>SUM(F90:F94)</f>
        <v>600</v>
      </c>
      <c r="F89" s="48"/>
      <c r="G89" s="101"/>
    </row>
    <row r="90" spans="1:7" ht="19.5">
      <c r="A90" s="52"/>
      <c r="B90" s="51"/>
      <c r="C90" s="48"/>
      <c r="D90" s="51"/>
      <c r="E90" s="66"/>
      <c r="F90" s="446">
        <v>600</v>
      </c>
      <c r="G90" s="101"/>
    </row>
    <row r="91" spans="1:7" ht="19.5">
      <c r="A91" s="52"/>
      <c r="B91" s="51"/>
      <c r="C91" s="48"/>
      <c r="D91" s="51"/>
      <c r="E91" s="66"/>
      <c r="F91" s="446"/>
      <c r="G91" s="101"/>
    </row>
    <row r="92" spans="1:7" ht="19.5">
      <c r="A92" s="52"/>
      <c r="B92" s="51"/>
      <c r="C92" s="48"/>
      <c r="D92" s="51"/>
      <c r="E92" s="66"/>
      <c r="F92" s="446"/>
      <c r="G92" s="101"/>
    </row>
    <row r="93" spans="1:7" ht="19.5">
      <c r="A93" s="52"/>
      <c r="B93" s="51"/>
      <c r="C93" s="48"/>
      <c r="D93" s="51"/>
      <c r="E93" s="66"/>
      <c r="F93" s="446"/>
      <c r="G93" s="101"/>
    </row>
    <row r="94" spans="1:7" ht="19.5">
      <c r="A94" s="52"/>
      <c r="B94" s="51"/>
      <c r="C94" s="48"/>
      <c r="D94" s="51"/>
      <c r="E94" s="66"/>
      <c r="F94" s="446"/>
      <c r="G94" s="101"/>
    </row>
    <row r="95" spans="1:7" ht="19.5">
      <c r="A95" s="52">
        <f>+A89+1</f>
        <v>21</v>
      </c>
      <c r="B95" s="48"/>
      <c r="C95" s="48" t="s">
        <v>104</v>
      </c>
      <c r="D95" s="48"/>
      <c r="E95" s="66">
        <f>SUM(F96:F97)</f>
        <v>0</v>
      </c>
      <c r="F95" s="100"/>
      <c r="G95" s="101"/>
    </row>
    <row r="96" spans="1:7" ht="19.5">
      <c r="A96" s="52"/>
      <c r="B96" s="48"/>
      <c r="C96" s="48"/>
      <c r="D96" s="48"/>
      <c r="E96" s="50"/>
      <c r="F96" s="446"/>
      <c r="G96" s="101"/>
    </row>
    <row r="97" spans="1:7" ht="19.5">
      <c r="A97" s="52"/>
      <c r="B97" s="48"/>
      <c r="C97" s="48"/>
      <c r="D97" s="48"/>
      <c r="E97" s="50"/>
      <c r="F97" s="446"/>
      <c r="G97" s="101"/>
    </row>
    <row r="98" spans="1:7" ht="19.5">
      <c r="A98" s="52">
        <f>+A95+1</f>
        <v>22</v>
      </c>
      <c r="B98" s="48"/>
      <c r="C98" s="61" t="s">
        <v>398</v>
      </c>
      <c r="D98" s="48"/>
      <c r="E98" s="66">
        <f>+F99</f>
        <v>0</v>
      </c>
      <c r="G98" s="48"/>
    </row>
    <row r="99" spans="1:7" ht="19.5">
      <c r="A99" s="52"/>
      <c r="B99" s="48"/>
      <c r="C99" s="61"/>
      <c r="D99" s="48"/>
      <c r="E99" s="48"/>
      <c r="F99" s="446"/>
      <c r="G99" s="48"/>
    </row>
    <row r="100" spans="1:7" ht="19.5">
      <c r="A100" s="3"/>
      <c r="B100" s="98"/>
      <c r="C100" s="98"/>
      <c r="D100"/>
      <c r="E100"/>
      <c r="F100" s="100"/>
      <c r="G100" s="48"/>
    </row>
    <row r="101" spans="1:7" ht="20.25" thickBot="1">
      <c r="A101" s="95">
        <f>+A98+1</f>
        <v>23</v>
      </c>
      <c r="B101" s="98"/>
      <c r="C101" s="48" t="s">
        <v>108</v>
      </c>
      <c r="D101"/>
      <c r="E101" s="60">
        <f>E22+E65+E69+E86+E81+E89+E95+E98+E62+E59+E54+E52+E50+E14</f>
        <v>274824559.99999994</v>
      </c>
      <c r="F101" s="60">
        <f>SUM(F14:F99)</f>
        <v>274824559.99999994</v>
      </c>
      <c r="G101" s="48"/>
    </row>
    <row r="102" spans="1:7" ht="20.25" thickTop="1">
      <c r="A102" s="3"/>
      <c r="B102" s="98"/>
      <c r="C102" s="48" t="s">
        <v>173</v>
      </c>
      <c r="D102"/>
      <c r="E102"/>
      <c r="F102" s="48"/>
      <c r="G102" s="48"/>
    </row>
    <row r="103" spans="1:7" ht="19.5">
      <c r="A103" s="3"/>
      <c r="B103" s="98"/>
      <c r="C103" s="48"/>
      <c r="D103"/>
      <c r="E103"/>
      <c r="F103" s="66" t="s">
        <v>406</v>
      </c>
      <c r="G103" s="48"/>
    </row>
    <row r="104" spans="1:7" ht="21.75" customHeight="1">
      <c r="A104" s="1189" t="s">
        <v>761</v>
      </c>
      <c r="B104" s="1189"/>
      <c r="C104" s="1189"/>
      <c r="D104" s="1189"/>
      <c r="E104" s="1189"/>
      <c r="F104" s="1189"/>
      <c r="G104" s="1189"/>
    </row>
    <row r="105" spans="1:7" ht="21.75" customHeight="1">
      <c r="A105" s="1189"/>
      <c r="B105" s="1189"/>
      <c r="C105" s="1189"/>
      <c r="D105" s="1189"/>
      <c r="E105" s="1189"/>
      <c r="F105" s="1189"/>
      <c r="G105" s="1189"/>
    </row>
    <row r="106" spans="1:7" ht="21.75" customHeight="1">
      <c r="A106" s="1189"/>
      <c r="B106" s="1189"/>
      <c r="C106" s="1189"/>
      <c r="D106" s="1189"/>
      <c r="E106" s="1189"/>
      <c r="F106" s="1189"/>
      <c r="G106" s="1189"/>
    </row>
    <row r="107" spans="1:7" ht="21.75" customHeight="1">
      <c r="A107" s="1189"/>
      <c r="B107" s="1189"/>
      <c r="C107" s="1189"/>
      <c r="D107" s="1189"/>
      <c r="E107" s="1189"/>
      <c r="F107" s="1189"/>
      <c r="G107" s="1189"/>
    </row>
    <row r="108" spans="1:7" ht="21.75" customHeight="1">
      <c r="A108" s="1189"/>
      <c r="B108" s="1189"/>
      <c r="C108" s="1189"/>
      <c r="D108" s="1189"/>
      <c r="E108" s="1189"/>
      <c r="F108" s="1189"/>
      <c r="G108" s="1189"/>
    </row>
    <row r="109" spans="1:7" ht="19.5">
      <c r="F109" s="48"/>
      <c r="G109" s="48"/>
    </row>
    <row r="110" spans="1:7" ht="30" customHeight="1">
      <c r="A110" s="1187" t="s">
        <v>694</v>
      </c>
      <c r="B110" s="1187"/>
      <c r="C110" s="1187"/>
      <c r="D110" s="1187"/>
      <c r="E110" s="1187"/>
      <c r="F110" s="1187"/>
      <c r="G110" s="1187"/>
    </row>
    <row r="111" spans="1:7" ht="30" customHeight="1">
      <c r="A111" s="1187"/>
      <c r="B111" s="1187"/>
      <c r="C111" s="1187"/>
      <c r="D111" s="1187"/>
      <c r="E111" s="1187"/>
      <c r="F111" s="1187"/>
      <c r="G111" s="1187"/>
    </row>
    <row r="112" spans="1:7" ht="19.5">
      <c r="F112" s="100"/>
      <c r="G112" s="48"/>
    </row>
    <row r="113" spans="6:7" ht="19.5">
      <c r="F113" s="100"/>
      <c r="G113" s="48"/>
    </row>
    <row r="114" spans="6:7" ht="19.5">
      <c r="F114" s="48"/>
    </row>
    <row r="115" spans="6:7" ht="19.5">
      <c r="F115" s="48"/>
    </row>
    <row r="116" spans="6:7" ht="19.5">
      <c r="F116" s="48"/>
    </row>
    <row r="117" spans="6:7" ht="19.5">
      <c r="F117" s="48"/>
    </row>
  </sheetData>
  <mergeCells count="7">
    <mergeCell ref="A110:G111"/>
    <mergeCell ref="H4:M4"/>
    <mergeCell ref="A104:G108"/>
    <mergeCell ref="A3:G3"/>
    <mergeCell ref="A4:G4"/>
    <mergeCell ref="A5:G5"/>
    <mergeCell ref="A6:G6"/>
  </mergeCells>
  <phoneticPr fontId="70" type="noConversion"/>
  <pageMargins left="0.82" right="1.28" top="0.67" bottom="0.56000000000000005" header="0.75" footer="0.28000000000000003"/>
  <pageSetup scale="30" orientation="portrait" r:id="rId1"/>
  <headerFooter alignWithMargins="0">
    <oddHeader>&amp;R&amp;"Arial,Bold"Formula Rate 
&amp;A
Page &amp;P of &amp;N</oddHeader>
  </headerFooter>
  <colBreaks count="1" manualBreakCount="1">
    <brk id="5" max="112"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28"/>
  <sheetViews>
    <sheetView view="pageBreakPreview" zoomScale="60" zoomScaleNormal="100" workbookViewId="0">
      <selection activeCell="A3" sqref="A3:J3"/>
    </sheetView>
  </sheetViews>
  <sheetFormatPr defaultRowHeight="12.75"/>
  <cols>
    <col min="1" max="1" width="4.7109375" customWidth="1"/>
    <col min="3" max="3" width="13.85546875" customWidth="1"/>
    <col min="4" max="4" width="18.85546875" customWidth="1"/>
    <col min="5" max="5" width="13.140625" customWidth="1"/>
    <col min="6" max="6" width="12.85546875" customWidth="1"/>
    <col min="7" max="7" width="19.42578125" customWidth="1"/>
    <col min="8" max="8" width="17.28515625" customWidth="1"/>
    <col min="9" max="9" width="18.7109375" customWidth="1"/>
    <col min="10" max="10" width="1.42578125" customWidth="1"/>
  </cols>
  <sheetData>
    <row r="1" spans="1:13" ht="15.75">
      <c r="A1" s="730" t="s">
        <v>406</v>
      </c>
    </row>
    <row r="2" spans="1:13" ht="15.75">
      <c r="A2" s="730" t="s">
        <v>406</v>
      </c>
    </row>
    <row r="3" spans="1:13" ht="18">
      <c r="A3" s="1192" t="str">
        <f>TCOS!$F$5</f>
        <v>AEPTCo subsidiaries in PJM</v>
      </c>
      <c r="B3" s="1192" t="str">
        <f>TCOS!$F$5</f>
        <v>AEPTCo subsidiaries in PJM</v>
      </c>
      <c r="C3" s="1192" t="str">
        <f>TCOS!$F$5</f>
        <v>AEPTCo subsidiaries in PJM</v>
      </c>
      <c r="D3" s="1192" t="str">
        <f>TCOS!$F$5</f>
        <v>AEPTCo subsidiaries in PJM</v>
      </c>
      <c r="E3" s="1192" t="str">
        <f>TCOS!$F$5</f>
        <v>AEPTCo subsidiaries in PJM</v>
      </c>
      <c r="F3" s="1192" t="str">
        <f>TCOS!$F$5</f>
        <v>AEPTCo subsidiaries in PJM</v>
      </c>
      <c r="G3" s="1192" t="str">
        <f>TCOS!$F$5</f>
        <v>AEPTCo subsidiaries in PJM</v>
      </c>
      <c r="H3" s="1192" t="str">
        <f>TCOS!$F$5</f>
        <v>AEPTCo subsidiaries in PJM</v>
      </c>
      <c r="I3" s="1192" t="str">
        <f>TCOS!$F$5</f>
        <v>AEPTCo subsidiaries in PJM</v>
      </c>
      <c r="J3" s="1192" t="str">
        <f>TCOS!$F$5</f>
        <v>AEPTCo subsidiaries in PJM</v>
      </c>
      <c r="K3" s="64"/>
      <c r="L3" s="64"/>
      <c r="M3" s="64"/>
    </row>
    <row r="4" spans="1:13" ht="18">
      <c r="A4" s="1191" t="str">
        <f>"Cost of Service Formula Rate Using Actual/Projected FF1 Balances"</f>
        <v>Cost of Service Formula Rate Using Actual/Projected FF1 Balances</v>
      </c>
      <c r="B4" s="1191"/>
      <c r="C4" s="1191"/>
      <c r="D4" s="1191"/>
      <c r="E4" s="1191"/>
      <c r="F4" s="1191"/>
      <c r="G4" s="1191"/>
      <c r="H4" s="1191"/>
      <c r="I4" s="1191"/>
      <c r="J4" s="1191"/>
      <c r="K4" s="44"/>
      <c r="L4" s="44"/>
      <c r="M4" s="44"/>
    </row>
    <row r="5" spans="1:13" ht="18">
      <c r="A5" s="1191" t="s">
        <v>587</v>
      </c>
      <c r="B5" s="1191"/>
      <c r="C5" s="1191"/>
      <c r="D5" s="1191"/>
      <c r="E5" s="1191"/>
      <c r="F5" s="1191"/>
      <c r="G5" s="1191"/>
      <c r="H5" s="1191"/>
      <c r="I5" s="1191"/>
      <c r="J5" s="1191"/>
      <c r="K5" s="65"/>
      <c r="L5" s="65"/>
      <c r="M5" s="65"/>
    </row>
    <row r="6" spans="1:13" ht="18">
      <c r="A6" s="1184" t="str">
        <f>+TCOS!F9</f>
        <v>AEP Ohio Transmission Company</v>
      </c>
      <c r="B6" s="1184"/>
      <c r="C6" s="1184"/>
      <c r="D6" s="1184"/>
      <c r="E6" s="1184"/>
      <c r="F6" s="1184"/>
      <c r="G6" s="1184"/>
      <c r="H6" s="1184"/>
      <c r="I6" s="1184"/>
      <c r="J6" s="1184"/>
      <c r="K6" s="67"/>
      <c r="L6" s="67"/>
      <c r="M6" s="67"/>
    </row>
    <row r="7" spans="1:13">
      <c r="H7" s="68"/>
    </row>
    <row r="8" spans="1:13" ht="15.75">
      <c r="D8" s="122" t="s">
        <v>554</v>
      </c>
    </row>
    <row r="9" spans="1:13">
      <c r="H9" s="47"/>
    </row>
    <row r="13" spans="1:13">
      <c r="H13" s="69"/>
    </row>
    <row r="14" spans="1:13">
      <c r="H14" s="85"/>
    </row>
    <row r="15" spans="1:13">
      <c r="H15" s="85"/>
    </row>
    <row r="24" spans="2:7">
      <c r="B24" s="71"/>
      <c r="G24" s="72"/>
    </row>
    <row r="25" spans="2:7">
      <c r="G25" s="72"/>
    </row>
    <row r="26" spans="2:7">
      <c r="B26" s="86"/>
      <c r="G26" s="87"/>
    </row>
    <row r="27" spans="2:7">
      <c r="G27" s="72"/>
    </row>
    <row r="28" spans="2:7">
      <c r="G28" s="73"/>
    </row>
  </sheetData>
  <mergeCells count="4">
    <mergeCell ref="A4:J4"/>
    <mergeCell ref="A3:J3"/>
    <mergeCell ref="A6:J6"/>
    <mergeCell ref="A5:J5"/>
  </mergeCells>
  <phoneticPr fontId="0" type="noConversion"/>
  <pageMargins left="0.26" right="1.28" top="1" bottom="1" header="0.75" footer="0.5"/>
  <pageSetup scale="69"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Q166"/>
  <sheetViews>
    <sheetView view="pageBreakPreview" zoomScale="70" zoomScaleNormal="70" zoomScaleSheetLayoutView="70" workbookViewId="0"/>
  </sheetViews>
  <sheetFormatPr defaultColWidth="8.85546875" defaultRowHeight="12.75"/>
  <cols>
    <col min="1" max="1" width="4.7109375" customWidth="1"/>
    <col min="2" max="2" width="6.7109375" customWidth="1"/>
    <col min="3" max="3" width="20.7109375" customWidth="1"/>
    <col min="4" max="4" width="22" style="1" customWidth="1"/>
    <col min="5" max="5" width="19.28515625" customWidth="1"/>
    <col min="6" max="8" width="17.7109375" customWidth="1"/>
    <col min="9" max="9" width="17.7109375" style="342" customWidth="1"/>
    <col min="10" max="10" width="17.7109375" bestFit="1" customWidth="1"/>
    <col min="11" max="11" width="2.140625" customWidth="1"/>
    <col min="12" max="12" width="17.7109375" style="3" customWidth="1"/>
    <col min="13" max="13" width="36.42578125" style="3" customWidth="1"/>
    <col min="14" max="14" width="17.7109375" style="3" customWidth="1"/>
    <col min="15" max="15" width="23.42578125" style="3" customWidth="1"/>
    <col min="16" max="16" width="16.7109375" style="3" customWidth="1"/>
    <col min="17" max="17" width="5" customWidth="1"/>
  </cols>
  <sheetData>
    <row r="1" spans="1:17" ht="15.75">
      <c r="A1" s="730" t="s">
        <v>628</v>
      </c>
    </row>
    <row r="2" spans="1:17" ht="15.75">
      <c r="A2" s="730" t="s">
        <v>629</v>
      </c>
    </row>
    <row r="3" spans="1:17" ht="15">
      <c r="A3" s="1148" t="str">
        <f>TCOS!$F$5</f>
        <v>AEPTCo subsidiaries in PJM</v>
      </c>
      <c r="B3" s="1148" t="str">
        <f>TCOS!$F$5</f>
        <v>AEPTCo subsidiaries in PJM</v>
      </c>
      <c r="C3" s="1148" t="str">
        <f>TCOS!$F$5</f>
        <v>AEPTCo subsidiaries in PJM</v>
      </c>
      <c r="D3" s="1148" t="str">
        <f>TCOS!$F$5</f>
        <v>AEPTCo subsidiaries in PJM</v>
      </c>
      <c r="E3" s="1148" t="str">
        <f>TCOS!$F$5</f>
        <v>AEPTCo subsidiaries in PJM</v>
      </c>
      <c r="F3" s="1148" t="str">
        <f>TCOS!$F$5</f>
        <v>AEPTCo subsidiaries in PJM</v>
      </c>
      <c r="G3" s="1148" t="str">
        <f>TCOS!$F$5</f>
        <v>AEPTCo subsidiaries in PJM</v>
      </c>
      <c r="H3" s="1148" t="str">
        <f>TCOS!$F$5</f>
        <v>AEPTCo subsidiaries in PJM</v>
      </c>
      <c r="I3" s="1148" t="str">
        <f>TCOS!$F$5</f>
        <v>AEPTCo subsidiaries in PJM</v>
      </c>
      <c r="J3" s="1148" t="str">
        <f>TCOS!$F$5</f>
        <v>AEPTCo subsidiaries in PJM</v>
      </c>
      <c r="K3" s="1148" t="str">
        <f>TCOS!$F$5</f>
        <v>AEPTCo subsidiaries in PJM</v>
      </c>
      <c r="L3" s="1148" t="str">
        <f>TCOS!$F$5</f>
        <v>AEPTCo subsidiaries in PJM</v>
      </c>
      <c r="M3" s="1148" t="str">
        <f>TCOS!$F$5</f>
        <v>AEPTCo subsidiaries in PJM</v>
      </c>
      <c r="N3" s="1148" t="str">
        <f>TCOS!$F$5</f>
        <v>AEPTCo subsidiaries in PJM</v>
      </c>
      <c r="O3" s="1148" t="str">
        <f>TCOS!$F$5</f>
        <v>AEPTCo subsidiaries in PJM</v>
      </c>
      <c r="P3" s="1148" t="str">
        <f>TCOS!$F$5</f>
        <v>AEPTCo subsidiaries in PJM</v>
      </c>
    </row>
    <row r="4" spans="1:17" ht="15">
      <c r="A4" s="1149" t="str">
        <f>"Cost of Service Formula Rate Using Actual/Projected FF1 Balances"</f>
        <v>Cost of Service Formula Rate Using Actual/Projected FF1 Balances</v>
      </c>
      <c r="B4" s="1149"/>
      <c r="C4" s="1149"/>
      <c r="D4" s="1149"/>
      <c r="E4" s="1149"/>
      <c r="F4" s="1149"/>
      <c r="G4" s="1149"/>
      <c r="H4" s="1149"/>
      <c r="I4" s="1149"/>
      <c r="J4" s="1149"/>
      <c r="K4" s="1149"/>
      <c r="L4" s="1149"/>
      <c r="M4" s="1149"/>
      <c r="N4" s="1149"/>
      <c r="O4" s="1149"/>
      <c r="P4" s="1149"/>
    </row>
    <row r="5" spans="1:17" ht="15">
      <c r="A5" s="1149" t="s">
        <v>257</v>
      </c>
      <c r="B5" s="1149"/>
      <c r="C5" s="1149"/>
      <c r="D5" s="1149"/>
      <c r="E5" s="1149"/>
      <c r="F5" s="1149"/>
      <c r="G5" s="1149"/>
      <c r="H5" s="1149"/>
      <c r="I5" s="1149"/>
      <c r="J5" s="1149"/>
      <c r="K5" s="1149"/>
      <c r="L5" s="1149"/>
      <c r="M5" s="1149"/>
      <c r="N5" s="1149"/>
      <c r="O5" s="1149"/>
      <c r="P5" s="1149"/>
    </row>
    <row r="6" spans="1:17" ht="15">
      <c r="A6" s="1159" t="str">
        <f>TCOS!F9</f>
        <v>AEP Ohio Transmission Company</v>
      </c>
      <c r="B6" s="1159"/>
      <c r="C6" s="1159"/>
      <c r="D6" s="1159"/>
      <c r="E6" s="1159"/>
      <c r="F6" s="1159"/>
      <c r="G6" s="1159"/>
      <c r="H6" s="1159"/>
      <c r="I6" s="1159"/>
      <c r="J6" s="1159"/>
      <c r="K6" s="1159"/>
      <c r="L6" s="1159"/>
      <c r="M6" s="1159"/>
      <c r="N6" s="1159"/>
      <c r="O6" s="1159"/>
      <c r="P6" s="1159"/>
    </row>
    <row r="8" spans="1:17" ht="20.25">
      <c r="A8" s="447"/>
      <c r="O8" s="398" t="str">
        <f>"Page "&amp;Q8&amp;" of "</f>
        <v xml:space="preserve">Page 1 of </v>
      </c>
      <c r="P8" s="448">
        <f>COUNT(Q$8:Q$57702)</f>
        <v>2</v>
      </c>
      <c r="Q8" s="398">
        <v>1</v>
      </c>
    </row>
    <row r="9" spans="1:17" ht="18">
      <c r="C9" s="6"/>
    </row>
    <row r="11" spans="1:17" ht="18">
      <c r="B11" s="449" t="s">
        <v>461</v>
      </c>
      <c r="C11" s="1199" t="str">
        <f>"Calculate Return and Income Taxes with "&amp;F17&amp;" basis point ROE increase for Projects Qualified for Regional Billing."</f>
        <v>Calculate Return and Income Taxes with 0 basis point ROE increase for Projects Qualified for Regional Billing.</v>
      </c>
      <c r="D11" s="1197"/>
      <c r="E11" s="1197"/>
      <c r="F11" s="1197"/>
      <c r="G11" s="1197"/>
      <c r="H11" s="1197"/>
      <c r="I11" s="1197"/>
    </row>
    <row r="12" spans="1:17" ht="18.75" customHeight="1">
      <c r="C12" s="1197"/>
      <c r="D12" s="1197"/>
      <c r="E12" s="1197"/>
      <c r="F12" s="1197"/>
      <c r="G12" s="1197"/>
      <c r="H12" s="1197"/>
      <c r="I12" s="1197"/>
    </row>
    <row r="13" spans="1:17" ht="15.75" customHeight="1">
      <c r="C13" s="450"/>
      <c r="D13" s="450"/>
      <c r="E13" s="450"/>
      <c r="F13" s="450"/>
      <c r="G13" s="450"/>
      <c r="H13" s="450"/>
      <c r="I13" s="450"/>
    </row>
    <row r="14" spans="1:17" ht="15.75">
      <c r="C14" s="451" t="str">
        <f>"A.   Determine 'R' with hypothetical "&amp;F17&amp;" basis point increase in ROE for Identified Projects"</f>
        <v>A.   Determine 'R' with hypothetical 0 basis point increase in ROE for Identified Projects</v>
      </c>
      <c r="D14" s="167"/>
    </row>
    <row r="15" spans="1:17">
      <c r="C15" s="41"/>
      <c r="D15" s="167"/>
    </row>
    <row r="16" spans="1:17">
      <c r="C16" s="452" t="str">
        <f>"   ROE w/o incentives  (TCOS, ln "&amp;TCOS!B251&amp;")"</f>
        <v xml:space="preserve">   ROE w/o incentives  (TCOS, ln 138)</v>
      </c>
      <c r="D16" s="167"/>
      <c r="E16" s="453"/>
      <c r="F16" s="574">
        <f>TCOS!J251</f>
        <v>9.8500000000000004E-2</v>
      </c>
      <c r="G16" s="574"/>
      <c r="H16" s="453"/>
      <c r="I16" s="455"/>
      <c r="J16" s="455"/>
      <c r="K16" s="455"/>
      <c r="L16" s="455"/>
      <c r="M16" s="455"/>
      <c r="N16" s="455"/>
      <c r="O16" s="455"/>
      <c r="P16" s="455"/>
      <c r="Q16" s="455"/>
    </row>
    <row r="17" spans="3:17" ht="13.5" thickBot="1">
      <c r="C17" s="452" t="s">
        <v>43</v>
      </c>
      <c r="D17" s="167"/>
      <c r="E17" s="453"/>
      <c r="F17" s="565">
        <v>0</v>
      </c>
      <c r="G17" s="453"/>
      <c r="H17" s="453"/>
      <c r="I17" s="455"/>
      <c r="J17" s="455"/>
      <c r="K17" s="455"/>
      <c r="L17" s="455"/>
      <c r="M17" s="455"/>
      <c r="N17" s="455"/>
      <c r="O17" s="455"/>
      <c r="P17" s="455"/>
    </row>
    <row r="18" spans="3:17">
      <c r="C18" s="452" t="str">
        <f>"   ROE with additional "&amp;F17&amp;" basis point incentive"</f>
        <v xml:space="preserve">   ROE with additional 0 basis point incentive</v>
      </c>
      <c r="D18" s="453"/>
      <c r="E18" s="453"/>
      <c r="F18" s="456">
        <f>IF((F16+(F17/10000)&gt;0.125),"ERROR",F16+(F17/10000))</f>
        <v>9.8500000000000004E-2</v>
      </c>
      <c r="G18" s="457"/>
      <c r="H18" s="453"/>
      <c r="I18" s="455"/>
      <c r="J18" s="455"/>
      <c r="K18" s="455"/>
      <c r="L18" s="575" t="s">
        <v>234</v>
      </c>
      <c r="M18" s="576"/>
      <c r="N18" s="576"/>
      <c r="O18" s="576"/>
      <c r="P18" s="577"/>
    </row>
    <row r="19" spans="3:17">
      <c r="C19" s="452" t="str">
        <f>"   Determine R  ( cost of long term debt, cost of preferred stock and equity percentage is from the True-Up TCOS, lns "&amp;TCOS!B249&amp;" through "&amp;TCOS!B251&amp;")"</f>
        <v xml:space="preserve">   Determine R  ( cost of long term debt, cost of preferred stock and equity percentage is from the True-Up TCOS, lns 136 through 138)</v>
      </c>
      <c r="D19" s="167"/>
      <c r="E19" s="453"/>
      <c r="F19" s="458"/>
      <c r="G19" s="458"/>
      <c r="H19" s="453"/>
      <c r="I19" s="455"/>
      <c r="J19" s="455"/>
      <c r="K19" s="455"/>
      <c r="L19" s="578"/>
      <c r="M19" s="455"/>
      <c r="N19" s="455" t="s">
        <v>45</v>
      </c>
      <c r="O19" s="455" t="s">
        <v>46</v>
      </c>
      <c r="P19" s="579" t="s">
        <v>47</v>
      </c>
    </row>
    <row r="20" spans="3:17">
      <c r="C20" s="455"/>
      <c r="D20" s="459" t="s">
        <v>436</v>
      </c>
      <c r="E20" s="459" t="s">
        <v>435</v>
      </c>
      <c r="F20" s="460" t="s">
        <v>44</v>
      </c>
      <c r="G20" s="460"/>
      <c r="H20" s="453"/>
      <c r="I20" s="455"/>
      <c r="J20" s="455"/>
      <c r="K20" s="455"/>
      <c r="L20" s="578" t="s">
        <v>232</v>
      </c>
      <c r="M20" s="580" t="str">
        <f>+TCOS!O3</f>
        <v xml:space="preserve"> </v>
      </c>
      <c r="P20" s="581"/>
    </row>
    <row r="21" spans="3:17">
      <c r="C21" s="461" t="s">
        <v>48</v>
      </c>
      <c r="D21" s="582">
        <f>TCOS!H249</f>
        <v>0.44985008708322277</v>
      </c>
      <c r="E21" s="462">
        <f>TCOS!J249</f>
        <v>4.4748443048860817E-2</v>
      </c>
      <c r="F21" s="463">
        <f>E21*D21</f>
        <v>2.0130091002368674E-2</v>
      </c>
      <c r="G21" s="463"/>
      <c r="H21" s="453"/>
      <c r="I21" s="455"/>
      <c r="J21" s="464"/>
      <c r="K21" s="464"/>
      <c r="L21" s="528"/>
      <c r="M21" s="47" t="s">
        <v>233</v>
      </c>
      <c r="N21" s="686" t="e">
        <f>+M88+#REF!+#REF!+#REF!+#REF!+#REF!+#REF!+#REF!</f>
        <v>#N/A</v>
      </c>
      <c r="O21" s="686" t="e">
        <f>+N88+#REF!+#REF!+#REF!+#REF!+#REF!+#REF!+#REF!</f>
        <v>#N/A</v>
      </c>
      <c r="P21" s="583" t="e">
        <f>+O21-N21</f>
        <v>#N/A</v>
      </c>
    </row>
    <row r="22" spans="3:17" ht="13.5" thickBot="1">
      <c r="C22" s="461" t="s">
        <v>49</v>
      </c>
      <c r="D22" s="582">
        <f>TCOS!H250</f>
        <v>0</v>
      </c>
      <c r="E22" s="462">
        <f>TCOS!J250</f>
        <v>0</v>
      </c>
      <c r="F22" s="463">
        <f>E22*D22</f>
        <v>0</v>
      </c>
      <c r="G22" s="463"/>
      <c r="H22" s="465"/>
      <c r="I22" s="465"/>
      <c r="J22" s="466"/>
      <c r="K22" s="466"/>
      <c r="L22" s="528"/>
      <c r="M22" s="47" t="s">
        <v>613</v>
      </c>
      <c r="N22" s="687" t="e">
        <f>M89+#REF!+#REF!+#REF!+#REF!+#REF!+#REF!+#REF!+#REF!</f>
        <v>#N/A</v>
      </c>
      <c r="O22" s="687" t="e">
        <f>N89+#REF!+#REF!+#REF!+#REF!+#REF!+#REF!+#REF!+#REF!</f>
        <v>#N/A</v>
      </c>
      <c r="P22" s="584" t="e">
        <f>+O22-N22</f>
        <v>#N/A</v>
      </c>
      <c r="Q22" s="466"/>
    </row>
    <row r="23" spans="3:17">
      <c r="C23" s="461" t="s">
        <v>29</v>
      </c>
      <c r="D23" s="582">
        <f>TCOS!H251</f>
        <v>0.55014991291677717</v>
      </c>
      <c r="E23" s="462">
        <f>+F18</f>
        <v>9.8500000000000004E-2</v>
      </c>
      <c r="F23" s="467">
        <f>E23*D23</f>
        <v>5.4189766422302554E-2</v>
      </c>
      <c r="G23" s="467"/>
      <c r="H23" s="465"/>
      <c r="I23" s="465"/>
      <c r="J23" s="466"/>
      <c r="K23" s="466"/>
      <c r="L23" s="528"/>
      <c r="M23" s="47" t="str">
        <f>"True-up of ARR For "&amp;TCOS!L4&amp;""</f>
        <v>True-up of ARR For 2026</v>
      </c>
      <c r="N23" s="506" t="e">
        <f>+N22-N21</f>
        <v>#N/A</v>
      </c>
      <c r="O23" s="506" t="e">
        <f>+O22-O21</f>
        <v>#N/A</v>
      </c>
      <c r="P23" s="585" t="e">
        <f>+P22-P21</f>
        <v>#N/A</v>
      </c>
      <c r="Q23" s="466"/>
    </row>
    <row r="24" spans="3:17">
      <c r="C24" s="452"/>
      <c r="D24"/>
      <c r="E24" s="468" t="s">
        <v>50</v>
      </c>
      <c r="F24" s="463">
        <f>SUM(F21:F23)</f>
        <v>7.4319857424671232E-2</v>
      </c>
      <c r="G24" s="463"/>
      <c r="H24" s="465"/>
      <c r="I24" s="465"/>
      <c r="J24" s="466"/>
      <c r="K24" s="466"/>
      <c r="L24" s="528"/>
      <c r="P24" s="581"/>
      <c r="Q24" s="466"/>
    </row>
    <row r="25" spans="3:17" ht="13.5" thickBot="1">
      <c r="C25" s="41"/>
      <c r="D25" s="473"/>
      <c r="E25" s="473"/>
      <c r="F25" s="465"/>
      <c r="G25" s="465"/>
      <c r="H25" s="465"/>
      <c r="I25" s="465"/>
      <c r="J25" s="465"/>
      <c r="K25" s="465"/>
      <c r="L25" s="586"/>
      <c r="M25" s="587"/>
      <c r="N25" s="588"/>
      <c r="O25" s="588"/>
      <c r="P25" s="584"/>
      <c r="Q25" s="465"/>
    </row>
    <row r="26" spans="3:17" ht="15.75">
      <c r="C26" s="451" t="str">
        <f>"B.   Determine Return using 'R' with hypothetical "&amp;F17&amp;" basis point ROE increase for Identified Projects."</f>
        <v>B.   Determine Return using 'R' with hypothetical 0 basis point ROE increase for Identified Projects.</v>
      </c>
      <c r="D26" s="473"/>
      <c r="E26" s="473"/>
      <c r="F26" s="465"/>
      <c r="G26" s="465"/>
      <c r="H26" s="465"/>
      <c r="I26" s="453"/>
      <c r="J26" s="465"/>
      <c r="K26" s="465"/>
      <c r="L26" s="465"/>
      <c r="M26" s="465"/>
      <c r="N26" s="465"/>
      <c r="O26" s="465"/>
      <c r="P26" s="465"/>
      <c r="Q26" s="465"/>
    </row>
    <row r="27" spans="3:17">
      <c r="C27" s="455"/>
      <c r="D27" s="473"/>
      <c r="E27" s="473"/>
      <c r="F27" s="465"/>
      <c r="G27" s="465"/>
      <c r="H27" s="465"/>
      <c r="I27" s="465"/>
      <c r="J27" s="465"/>
      <c r="K27" s="465"/>
      <c r="L27" s="465"/>
      <c r="M27" s="465"/>
      <c r="N27" s="465"/>
      <c r="O27" s="465"/>
      <c r="P27" s="465"/>
      <c r="Q27" s="465"/>
    </row>
    <row r="28" spans="3:17">
      <c r="C28" s="452" t="str">
        <f>"   Rate Base  (True-Up TCOS, ln "&amp;TCOS!B118&amp;")"</f>
        <v xml:space="preserve">   Rate Base  (True-Up TCOS, ln 58)</v>
      </c>
      <c r="D28" s="453"/>
      <c r="E28" s="481">
        <f>TCOS!L118</f>
        <v>5487414341.316987</v>
      </c>
      <c r="F28" s="488"/>
      <c r="G28" s="488"/>
      <c r="H28" s="465"/>
      <c r="I28" s="465"/>
      <c r="J28" s="465"/>
      <c r="K28" s="465"/>
      <c r="L28" s="465"/>
      <c r="M28" s="465"/>
      <c r="N28" s="465"/>
      <c r="O28" s="465"/>
      <c r="P28" s="488"/>
      <c r="Q28" s="465"/>
    </row>
    <row r="29" spans="3:17">
      <c r="C29" s="455" t="s">
        <v>52</v>
      </c>
      <c r="D29" s="483"/>
      <c r="E29" s="463">
        <f>F24</f>
        <v>7.4319857424671232E-2</v>
      </c>
      <c r="F29" s="465"/>
      <c r="G29" s="465"/>
      <c r="H29" s="465"/>
      <c r="I29" s="465"/>
      <c r="J29" s="465"/>
      <c r="K29" s="465"/>
      <c r="L29" s="465"/>
      <c r="M29" s="465"/>
      <c r="N29" s="465"/>
      <c r="O29" s="465"/>
      <c r="P29" s="465"/>
      <c r="Q29" s="465"/>
    </row>
    <row r="30" spans="3:17">
      <c r="C30" s="484" t="s">
        <v>53</v>
      </c>
      <c r="D30" s="484"/>
      <c r="E30" s="466">
        <f>E28*E29</f>
        <v>407823851.47677469</v>
      </c>
      <c r="F30" s="465"/>
      <c r="G30" s="465"/>
      <c r="H30" s="465"/>
      <c r="I30" s="465"/>
      <c r="J30" s="466"/>
      <c r="K30" s="466"/>
      <c r="L30" s="466"/>
      <c r="M30" s="466"/>
      <c r="N30" s="466"/>
      <c r="O30" s="466"/>
      <c r="P30" s="465"/>
      <c r="Q30" s="466"/>
    </row>
    <row r="31" spans="3:17">
      <c r="C31" s="484"/>
      <c r="D31" s="455"/>
      <c r="E31" s="455"/>
      <c r="F31" s="465"/>
      <c r="G31" s="465"/>
      <c r="H31" s="465"/>
      <c r="I31" s="465"/>
      <c r="J31" s="466"/>
      <c r="K31" s="466"/>
      <c r="L31" s="466"/>
      <c r="M31" s="466"/>
      <c r="N31" s="466"/>
      <c r="O31" s="466"/>
      <c r="P31" s="465"/>
      <c r="Q31" s="466"/>
    </row>
    <row r="32" spans="3:17" ht="15.75">
      <c r="C32" s="451" t="str">
        <f>"C.   Determine Income Taxes using Return with hypothetical "&amp;F17&amp;" basis point ROE increase for Identified Projects."</f>
        <v>C.   Determine Income Taxes using Return with hypothetical 0 basis point ROE increase for Identified Projects.</v>
      </c>
      <c r="D32" s="485"/>
      <c r="E32" s="485"/>
      <c r="F32" s="486"/>
      <c r="G32" s="486"/>
      <c r="H32" s="486"/>
      <c r="I32" s="486"/>
      <c r="J32" s="487"/>
      <c r="K32" s="487"/>
      <c r="L32" s="487"/>
      <c r="M32" s="487"/>
      <c r="N32" s="487"/>
      <c r="O32" s="487"/>
      <c r="P32" s="486"/>
      <c r="Q32" s="487"/>
    </row>
    <row r="33" spans="2:17">
      <c r="C33" s="452"/>
      <c r="D33" s="455"/>
      <c r="E33" s="455"/>
      <c r="F33" s="465"/>
      <c r="G33" s="465"/>
      <c r="H33" s="465"/>
      <c r="I33" s="465"/>
      <c r="J33" s="466"/>
      <c r="K33" s="466"/>
      <c r="L33" s="466"/>
      <c r="M33" s="466"/>
      <c r="N33" s="466"/>
      <c r="O33" s="466"/>
      <c r="P33" s="465"/>
      <c r="Q33" s="466"/>
    </row>
    <row r="34" spans="2:17">
      <c r="C34" s="455" t="s">
        <v>54</v>
      </c>
      <c r="D34" s="468"/>
      <c r="E34" s="488">
        <f>E30</f>
        <v>407823851.47677469</v>
      </c>
      <c r="F34" s="465"/>
      <c r="G34" s="465"/>
      <c r="H34" s="465"/>
      <c r="I34" s="465"/>
      <c r="J34" s="465"/>
      <c r="K34" s="465"/>
      <c r="L34" s="465"/>
      <c r="M34" s="465"/>
      <c r="N34" s="465"/>
      <c r="O34" s="465"/>
      <c r="P34" s="465"/>
      <c r="Q34" s="465"/>
    </row>
    <row r="35" spans="2:17">
      <c r="C35" s="452" t="str">
        <f>"   Effective Tax Rate  (TCOS, ln "&amp;TCOS!B178&amp;")"</f>
        <v xml:space="preserve">   Effective Tax Rate  (TCOS, ln 97)</v>
      </c>
      <c r="D35" s="47"/>
      <c r="E35" s="489">
        <f>TCOS!G178</f>
        <v>0.19604313460260026</v>
      </c>
      <c r="F35" s="3"/>
      <c r="G35" s="3"/>
      <c r="H35" s="3"/>
      <c r="I35" s="490"/>
      <c r="J35" s="3"/>
      <c r="K35" s="3"/>
      <c r="Q35" s="3"/>
    </row>
    <row r="36" spans="2:17">
      <c r="C36" s="484" t="s">
        <v>55</v>
      </c>
      <c r="D36" s="47"/>
      <c r="E36" s="491">
        <f>E34*E35</f>
        <v>79951066.209212199</v>
      </c>
      <c r="F36" s="3"/>
      <c r="G36" s="3"/>
      <c r="H36" s="3"/>
      <c r="I36" s="490"/>
      <c r="J36" s="3"/>
      <c r="K36" s="3"/>
      <c r="Q36" s="3"/>
    </row>
    <row r="37" spans="2:17" ht="15">
      <c r="C37" s="452" t="s">
        <v>97</v>
      </c>
      <c r="D37" s="135"/>
      <c r="E37" s="465">
        <f>TCOS!L186</f>
        <v>0</v>
      </c>
      <c r="F37" s="135"/>
      <c r="G37" s="135"/>
      <c r="H37" s="135"/>
      <c r="I37" s="135"/>
      <c r="J37" s="135"/>
      <c r="K37" s="135"/>
      <c r="L37" s="135"/>
      <c r="M37" s="135"/>
      <c r="N37" s="135"/>
      <c r="O37" s="135"/>
      <c r="P37" s="149"/>
      <c r="Q37" s="135"/>
    </row>
    <row r="38" spans="2:17" ht="15">
      <c r="C38" s="452" t="s">
        <v>550</v>
      </c>
      <c r="D38" s="135"/>
      <c r="E38" s="465">
        <f>TCOS!L187</f>
        <v>507217.39453477086</v>
      </c>
      <c r="F38" s="135"/>
      <c r="G38" s="135"/>
      <c r="H38" s="135"/>
      <c r="I38" s="135"/>
      <c r="J38" s="135"/>
      <c r="K38" s="135"/>
      <c r="L38" s="135"/>
      <c r="M38" s="135"/>
      <c r="N38" s="135"/>
      <c r="O38" s="135"/>
      <c r="P38" s="149"/>
      <c r="Q38" s="135"/>
    </row>
    <row r="39" spans="2:17" ht="15">
      <c r="C39" s="452" t="s">
        <v>552</v>
      </c>
      <c r="D39" s="135"/>
      <c r="E39" s="589">
        <f>TCOS!L188</f>
        <v>1384108.5237823687</v>
      </c>
      <c r="F39" s="135"/>
      <c r="G39" s="135"/>
      <c r="H39" s="135"/>
      <c r="I39" s="135"/>
      <c r="J39" s="135"/>
      <c r="K39" s="135"/>
      <c r="L39" s="135"/>
      <c r="M39" s="135"/>
      <c r="N39" s="135"/>
      <c r="O39" s="135"/>
      <c r="P39" s="149"/>
      <c r="Q39" s="135"/>
    </row>
    <row r="40" spans="2:17" ht="15">
      <c r="C40" s="484" t="s">
        <v>56</v>
      </c>
      <c r="D40" s="135"/>
      <c r="E40" s="465">
        <f>E36+E37+E38+E39</f>
        <v>81842392.127529338</v>
      </c>
      <c r="F40" s="135"/>
      <c r="G40" s="135"/>
      <c r="H40" s="135"/>
      <c r="I40" s="135"/>
      <c r="J40" s="135"/>
      <c r="K40" s="135"/>
      <c r="L40" s="135"/>
      <c r="M40" s="135"/>
      <c r="N40" s="135"/>
      <c r="O40" s="135"/>
      <c r="P40" s="148"/>
      <c r="Q40" s="135"/>
    </row>
    <row r="41" spans="2:17" ht="12.75" customHeight="1">
      <c r="C41" s="131"/>
      <c r="D41" s="135"/>
      <c r="E41" s="135"/>
      <c r="F41" s="135"/>
      <c r="G41" s="135"/>
      <c r="H41" s="135"/>
      <c r="I41" s="135"/>
      <c r="J41" s="135"/>
      <c r="K41" s="135"/>
      <c r="L41" s="135"/>
      <c r="M41" s="135"/>
      <c r="N41" s="135"/>
      <c r="O41" s="135"/>
      <c r="P41" s="148"/>
      <c r="Q41" s="135"/>
    </row>
    <row r="42" spans="2:17" ht="18.75">
      <c r="B42" s="449" t="s">
        <v>462</v>
      </c>
      <c r="C42" s="6" t="str">
        <f>"Calculate Net Plant Carrying Charge Rate (Fixed Charge Rate or FCR) with hypothetical "&amp;F17&amp;""</f>
        <v>Calculate Net Plant Carrying Charge Rate (Fixed Charge Rate or FCR) with hypothetical 0</v>
      </c>
      <c r="D42" s="135"/>
      <c r="E42" s="135"/>
      <c r="F42" s="135"/>
      <c r="G42" s="135"/>
      <c r="H42" s="135"/>
      <c r="I42" s="135"/>
      <c r="J42" s="135"/>
      <c r="K42" s="135"/>
      <c r="L42" s="135"/>
      <c r="M42" s="135"/>
      <c r="N42" s="135"/>
      <c r="O42" s="135"/>
      <c r="P42" s="148"/>
      <c r="Q42" s="135"/>
    </row>
    <row r="43" spans="2:17" ht="18.75" customHeight="1">
      <c r="C43" s="6" t="str">
        <f>"basis point ROE increase."</f>
        <v>basis point ROE increase.</v>
      </c>
      <c r="D43" s="135"/>
      <c r="E43" s="135"/>
      <c r="F43" s="135"/>
      <c r="G43" s="135"/>
      <c r="H43" s="135"/>
      <c r="I43" s="135"/>
      <c r="J43" s="135"/>
      <c r="K43" s="135"/>
      <c r="L43" s="135"/>
      <c r="M43" s="135"/>
      <c r="N43" s="135"/>
      <c r="O43" s="135"/>
      <c r="P43" s="148"/>
      <c r="Q43" s="135"/>
    </row>
    <row r="44" spans="2:17" ht="12.75" customHeight="1">
      <c r="C44" s="6"/>
      <c r="D44" s="135"/>
      <c r="E44" s="135"/>
      <c r="F44" s="135"/>
      <c r="G44" s="135"/>
      <c r="H44" s="135"/>
      <c r="I44" s="135"/>
      <c r="J44" s="135"/>
      <c r="K44" s="135"/>
      <c r="L44" s="135"/>
      <c r="M44" s="135"/>
      <c r="N44" s="135"/>
      <c r="O44" s="135"/>
      <c r="P44" s="148"/>
      <c r="Q44" s="135"/>
    </row>
    <row r="45" spans="2:17" ht="15.75">
      <c r="C45" s="451" t="s">
        <v>253</v>
      </c>
      <c r="D45" s="135"/>
      <c r="E45" s="135"/>
      <c r="F45" s="131"/>
      <c r="G45" s="131"/>
      <c r="H45" s="135"/>
      <c r="I45" s="135"/>
      <c r="J45" s="135"/>
      <c r="K45" s="135"/>
      <c r="L45" s="135"/>
      <c r="M45" s="135"/>
      <c r="N45" s="135"/>
      <c r="O45" s="135"/>
      <c r="P45" s="148"/>
      <c r="Q45" s="135"/>
    </row>
    <row r="46" spans="2:17">
      <c r="B46" s="3"/>
      <c r="C46" s="452"/>
      <c r="D46" s="453"/>
      <c r="E46" s="453"/>
      <c r="F46" s="453"/>
      <c r="G46" s="453"/>
      <c r="H46" s="453"/>
      <c r="I46" s="453"/>
      <c r="J46" s="453"/>
      <c r="K46" s="453"/>
      <c r="L46" s="453"/>
      <c r="M46" s="453"/>
      <c r="N46" s="453"/>
      <c r="O46" s="453"/>
      <c r="P46" s="465"/>
      <c r="Q46" s="453"/>
    </row>
    <row r="47" spans="2:17" ht="12.75" customHeight="1">
      <c r="B47" s="3"/>
      <c r="C47" s="452" t="str">
        <f>"   Annual Revenue Requirement  (TCOS, ln "&amp;TCOS!B13&amp;")"</f>
        <v xml:space="preserve">   Annual Revenue Requirement  (TCOS, ln 1)</v>
      </c>
      <c r="D47" s="453"/>
      <c r="E47" s="453"/>
      <c r="F47" s="465">
        <f>TCOS!L13</f>
        <v>1060516789.631901</v>
      </c>
      <c r="G47" s="465"/>
      <c r="H47" s="590" t="s">
        <v>406</v>
      </c>
      <c r="I47" s="453"/>
      <c r="J47" s="453"/>
      <c r="K47" s="453"/>
      <c r="L47" s="453"/>
      <c r="M47" s="453"/>
      <c r="N47" s="453"/>
      <c r="O47" s="453"/>
      <c r="P47" s="465"/>
      <c r="Q47" s="453"/>
    </row>
    <row r="48" spans="2:17" ht="12.75" customHeight="1">
      <c r="B48" s="3"/>
      <c r="C48" s="493" t="str">
        <f>"   Lease Payments (TCOS, Lns "&amp;TCOS!B157&amp;")"</f>
        <v xml:space="preserve">   Lease Payments (TCOS, Lns 80)</v>
      </c>
      <c r="D48" s="453"/>
      <c r="E48" s="453"/>
      <c r="F48" s="465">
        <f>TCOS!L157</f>
        <v>0</v>
      </c>
      <c r="G48" s="465"/>
      <c r="H48" s="590"/>
      <c r="I48" s="453"/>
      <c r="J48" s="453"/>
      <c r="K48" s="453"/>
      <c r="L48" s="453"/>
      <c r="M48" s="453"/>
      <c r="N48" s="453"/>
      <c r="O48" s="453"/>
      <c r="P48" s="465"/>
      <c r="Q48" s="453"/>
    </row>
    <row r="49" spans="2:17">
      <c r="B49" s="3"/>
      <c r="C49" s="452" t="str">
        <f>"   Return  (TCOS, ln "&amp;TCOS!B191&amp;")"</f>
        <v xml:space="preserve">   Return  (TCOS, ln 109)</v>
      </c>
      <c r="D49" s="453"/>
      <c r="E49" s="453"/>
      <c r="F49" s="466">
        <f>TCOS!L191</f>
        <v>407823851.47677469</v>
      </c>
      <c r="G49" s="466"/>
      <c r="H49" s="452"/>
      <c r="I49" s="452"/>
      <c r="J49" s="452"/>
      <c r="K49" s="452"/>
      <c r="L49" s="452"/>
      <c r="M49" s="452"/>
      <c r="N49" s="452"/>
      <c r="O49" s="452"/>
      <c r="P49" s="465"/>
      <c r="Q49" s="452"/>
    </row>
    <row r="50" spans="2:17">
      <c r="B50" s="3"/>
      <c r="C50" s="452" t="str">
        <f>"   Income Taxes  (TCOS, ln "&amp;TCOS!B189&amp;")"</f>
        <v xml:space="preserve">   Income Taxes  (TCOS, ln 108)</v>
      </c>
      <c r="D50" s="453"/>
      <c r="E50" s="453"/>
      <c r="F50" s="494">
        <f>TCOS!L189</f>
        <v>81842392.127529338</v>
      </c>
      <c r="G50" s="494"/>
      <c r="H50" s="453"/>
      <c r="I50" s="453"/>
      <c r="J50" s="495"/>
      <c r="K50" s="495"/>
      <c r="L50" s="495"/>
      <c r="M50" s="495"/>
      <c r="N50" s="495"/>
      <c r="O50" s="495"/>
      <c r="P50" s="453"/>
      <c r="Q50" s="495"/>
    </row>
    <row r="51" spans="2:17">
      <c r="B51" s="3"/>
      <c r="C51" s="1195" t="s">
        <v>614</v>
      </c>
      <c r="D51" s="1196"/>
      <c r="E51" s="453"/>
      <c r="F51" s="466">
        <f>F47-F49-F50-F48</f>
        <v>570850546.02759695</v>
      </c>
      <c r="G51" s="466"/>
      <c r="H51" s="496"/>
      <c r="I51" s="453"/>
      <c r="J51" s="496"/>
      <c r="K51" s="496"/>
      <c r="L51" s="496"/>
      <c r="M51" s="496"/>
      <c r="N51" s="496"/>
      <c r="O51" s="496"/>
      <c r="P51" s="496"/>
      <c r="Q51" s="496"/>
    </row>
    <row r="52" spans="2:17">
      <c r="B52" s="3"/>
      <c r="C52" s="1196"/>
      <c r="D52" s="1196"/>
      <c r="E52" s="453"/>
      <c r="F52" s="465"/>
      <c r="G52" s="465"/>
      <c r="H52" s="497"/>
      <c r="I52" s="498"/>
      <c r="J52" s="498"/>
      <c r="K52" s="498"/>
      <c r="L52" s="498"/>
      <c r="M52" s="498"/>
      <c r="N52" s="498"/>
      <c r="O52" s="498"/>
      <c r="P52" s="498"/>
      <c r="Q52" s="498"/>
    </row>
    <row r="53" spans="2:17" ht="15.75">
      <c r="B53" s="3"/>
      <c r="C53" s="451" t="str">
        <f>"B.   Determine Annual Revenue Requirement with hypothetical "&amp;F17&amp;" basis point increase in ROE."</f>
        <v>B.   Determine Annual Revenue Requirement with hypothetical 0 basis point increase in ROE.</v>
      </c>
      <c r="D53" s="455"/>
      <c r="E53" s="455"/>
      <c r="F53" s="465"/>
      <c r="G53" s="465"/>
      <c r="H53" s="497"/>
      <c r="I53" s="498"/>
      <c r="J53" s="498"/>
      <c r="K53" s="498"/>
      <c r="L53" s="498"/>
      <c r="M53" s="498"/>
      <c r="N53" s="498"/>
      <c r="O53" s="498"/>
      <c r="P53" s="498"/>
      <c r="Q53" s="498"/>
    </row>
    <row r="54" spans="2:17">
      <c r="B54" s="3"/>
      <c r="C54" s="452"/>
      <c r="D54" s="455"/>
      <c r="E54" s="455"/>
      <c r="F54" s="465"/>
      <c r="G54" s="465"/>
      <c r="H54" s="497"/>
      <c r="I54" s="498"/>
      <c r="J54" s="498"/>
      <c r="K54" s="498"/>
      <c r="L54" s="498"/>
      <c r="M54" s="498"/>
      <c r="N54" s="498"/>
      <c r="O54" s="498"/>
      <c r="P54" s="498"/>
      <c r="Q54" s="498"/>
    </row>
    <row r="55" spans="2:17">
      <c r="B55" s="3"/>
      <c r="C55" s="493" t="str">
        <f>C51</f>
        <v xml:space="preserve">   Annual Revenue Requirement, Less Lease Payments, Return and Taxes</v>
      </c>
      <c r="D55" s="455"/>
      <c r="E55" s="455"/>
      <c r="F55" s="465">
        <f>F51</f>
        <v>570850546.02759695</v>
      </c>
      <c r="G55" s="465"/>
      <c r="H55" s="453"/>
      <c r="I55" s="453"/>
      <c r="J55" s="453"/>
      <c r="K55" s="453"/>
      <c r="L55" s="453"/>
      <c r="M55" s="453"/>
      <c r="N55" s="453"/>
      <c r="O55" s="453"/>
      <c r="P55" s="499"/>
      <c r="Q55" s="453"/>
    </row>
    <row r="56" spans="2:17">
      <c r="B56" s="3"/>
      <c r="C56" s="455" t="s">
        <v>94</v>
      </c>
      <c r="D56" s="47"/>
      <c r="E56" s="3"/>
      <c r="F56" s="491">
        <f>E30</f>
        <v>407823851.47677469</v>
      </c>
      <c r="G56" s="491"/>
      <c r="H56" s="3"/>
      <c r="I56" s="591"/>
      <c r="J56" s="3"/>
      <c r="K56" s="3"/>
      <c r="Q56" s="3"/>
    </row>
    <row r="57" spans="2:17" ht="12.75" customHeight="1">
      <c r="B57" s="3"/>
      <c r="C57" s="452" t="s">
        <v>62</v>
      </c>
      <c r="D57" s="453"/>
      <c r="E57" s="453"/>
      <c r="F57" s="494">
        <f>E40</f>
        <v>81842392.127529338</v>
      </c>
      <c r="G57" s="494"/>
      <c r="H57" s="3"/>
      <c r="I57" s="490"/>
      <c r="J57" s="3"/>
      <c r="K57" s="3"/>
      <c r="Q57" s="3"/>
    </row>
    <row r="58" spans="2:17">
      <c r="B58" s="3"/>
      <c r="C58" s="3" t="str">
        <f>"   Annual Revenue Requirement, with "&amp;F17&amp;" Basis Point ROE increase"</f>
        <v xml:space="preserve">   Annual Revenue Requirement, with 0 Basis Point ROE increase</v>
      </c>
      <c r="D58" s="47"/>
      <c r="E58" s="3"/>
      <c r="F58" s="491">
        <f>SUM(F55:F57)</f>
        <v>1060516789.631901</v>
      </c>
      <c r="G58" s="491"/>
      <c r="H58" s="3"/>
      <c r="I58" s="490"/>
      <c r="J58" s="3"/>
      <c r="K58" s="3"/>
      <c r="Q58" s="3"/>
    </row>
    <row r="59" spans="2:17">
      <c r="B59" s="3"/>
      <c r="C59" s="452" t="str">
        <f>"   Depreciation  (TCOS, ln "&amp;TCOS!B161&amp;")"</f>
        <v xml:space="preserve">   Depreciation  (TCOS, ln 83)</v>
      </c>
      <c r="D59" s="47"/>
      <c r="E59" s="3"/>
      <c r="F59" s="500">
        <f>TCOS!L161</f>
        <v>202266459.25446859</v>
      </c>
      <c r="G59" s="500"/>
      <c r="H59" s="491"/>
      <c r="I59" s="490"/>
      <c r="J59" s="3"/>
      <c r="K59" s="3"/>
      <c r="Q59" s="3"/>
    </row>
    <row r="60" spans="2:17">
      <c r="B60" s="3"/>
      <c r="C60" s="1124" t="str">
        <f>"   Annual Rev. Req, w/ "&amp;F17&amp;" Basis Point ROE increase, less Depreciation"</f>
        <v xml:space="preserve">   Annual Rev. Req, w/ 0 Basis Point ROE increase, less Depreciation</v>
      </c>
      <c r="D60" s="1197"/>
      <c r="E60" s="3"/>
      <c r="F60" s="491">
        <f>F58-F59</f>
        <v>858250330.37743247</v>
      </c>
      <c r="G60" s="491"/>
      <c r="H60" s="3"/>
      <c r="I60" s="490"/>
      <c r="J60" s="3"/>
      <c r="K60" s="3"/>
      <c r="Q60" s="3"/>
    </row>
    <row r="61" spans="2:17">
      <c r="B61" s="3"/>
      <c r="C61" s="1197"/>
      <c r="D61" s="1197"/>
      <c r="E61" s="3"/>
      <c r="F61" s="3"/>
      <c r="G61" s="3"/>
      <c r="H61" s="3"/>
      <c r="I61" s="490"/>
      <c r="J61" s="3"/>
      <c r="K61" s="3"/>
      <c r="Q61" s="3"/>
    </row>
    <row r="62" spans="2:17" ht="15.75">
      <c r="B62" s="3"/>
      <c r="C62" s="451" t="str">
        <f>"C.   Determine FCR with hypothetical "&amp;F17&amp;" basis point ROE increase."</f>
        <v>C.   Determine FCR with hypothetical 0 basis point ROE increase.</v>
      </c>
      <c r="D62" s="47"/>
      <c r="E62" s="3"/>
      <c r="F62" s="3"/>
      <c r="G62" s="3"/>
      <c r="H62" s="3"/>
      <c r="I62" s="490"/>
      <c r="J62" s="3"/>
      <c r="K62" s="3"/>
      <c r="Q62" s="3"/>
    </row>
    <row r="63" spans="2:17">
      <c r="B63" s="3"/>
      <c r="C63" s="3"/>
      <c r="D63" s="47"/>
      <c r="E63" s="3"/>
      <c r="F63" s="3"/>
      <c r="G63" s="3"/>
      <c r="H63" s="3"/>
      <c r="I63" s="490"/>
      <c r="J63" s="3"/>
      <c r="K63" s="3"/>
      <c r="Q63" s="3"/>
    </row>
    <row r="64" spans="2:17">
      <c r="B64" s="3"/>
      <c r="C64" s="452" t="str">
        <f>"   Net Transmission Plant  (Projected TCOS, ln "&amp;TCOS!B83&amp;")"</f>
        <v xml:space="preserve">   Net Transmission Plant  (Projected TCOS, ln 33)</v>
      </c>
      <c r="D64" s="47"/>
      <c r="E64" s="3"/>
      <c r="F64" s="491">
        <f>TCOS!L83</f>
        <v>5755326421.182127</v>
      </c>
      <c r="G64" s="491"/>
      <c r="H64" s="491"/>
      <c r="I64" s="592"/>
      <c r="J64" s="3"/>
      <c r="K64" s="3"/>
      <c r="Q64" s="3"/>
    </row>
    <row r="65" spans="2:17">
      <c r="B65" s="3"/>
      <c r="C65" s="3" t="str">
        <f>"   Annual Revenue Requirement, with "&amp;F17&amp;" Basis Point ROE increase"</f>
        <v xml:space="preserve">   Annual Revenue Requirement, with 0 Basis Point ROE increase</v>
      </c>
      <c r="D65" s="47"/>
      <c r="E65" s="3"/>
      <c r="F65" s="491">
        <f>F58</f>
        <v>1060516789.631901</v>
      </c>
      <c r="G65" s="491"/>
      <c r="H65" s="3"/>
      <c r="I65" s="490"/>
      <c r="J65" s="3"/>
      <c r="K65" s="3"/>
      <c r="Q65" s="3"/>
    </row>
    <row r="66" spans="2:17">
      <c r="B66" s="3"/>
      <c r="C66" s="3" t="str">
        <f>"   FCR with "&amp;F17&amp;" Basis Point increase in ROE"</f>
        <v xml:space="preserve">   FCR with 0 Basis Point increase in ROE</v>
      </c>
      <c r="D66" s="47"/>
      <c r="E66" s="3"/>
      <c r="F66" s="489">
        <f>IF(F64=0,0,F65/F64)</f>
        <v>0.1842670097266306</v>
      </c>
      <c r="G66" s="489"/>
      <c r="H66" s="489"/>
      <c r="I66" s="490"/>
      <c r="J66" s="3"/>
      <c r="K66" s="3"/>
      <c r="Q66" s="3"/>
    </row>
    <row r="67" spans="2:17">
      <c r="B67" s="3"/>
      <c r="C67" s="41"/>
      <c r="D67" s="47"/>
      <c r="E67" s="3"/>
      <c r="F67" s="3"/>
      <c r="G67" s="3"/>
      <c r="H67" s="3"/>
      <c r="I67" s="490"/>
      <c r="J67" s="3"/>
      <c r="K67" s="3"/>
      <c r="Q67" s="3"/>
    </row>
    <row r="68" spans="2:17">
      <c r="B68" s="3"/>
      <c r="C68" s="3" t="str">
        <f>"   Annual Rev. Req, w / "&amp;F17&amp;" Basis Point ROE increase, less Dep."</f>
        <v xml:space="preserve">   Annual Rev. Req, w / 0 Basis Point ROE increase, less Dep.</v>
      </c>
      <c r="D68" s="47"/>
      <c r="E68" s="3"/>
      <c r="F68" s="491">
        <f>F60</f>
        <v>858250330.37743247</v>
      </c>
      <c r="G68" s="491"/>
      <c r="H68" s="3"/>
      <c r="I68" s="490"/>
      <c r="J68" s="3"/>
      <c r="K68" s="3"/>
      <c r="Q68" s="3"/>
    </row>
    <row r="69" spans="2:17">
      <c r="B69" s="3"/>
      <c r="C69" s="3" t="str">
        <f>"   FCR with "&amp;F17&amp;" Basis Point ROE increase, less Depreciation"</f>
        <v xml:space="preserve">   FCR with 0 Basis Point ROE increase, less Depreciation</v>
      </c>
      <c r="D69" s="47"/>
      <c r="E69" s="3"/>
      <c r="F69" s="489">
        <f>IF(F68=0,0,F68/F64)</f>
        <v>0.14912278949438812</v>
      </c>
      <c r="G69" s="489"/>
      <c r="H69" s="3"/>
      <c r="I69" s="490"/>
      <c r="J69" s="3"/>
      <c r="K69" s="3"/>
      <c r="Q69" s="3"/>
    </row>
    <row r="70" spans="2:17">
      <c r="B70" s="3"/>
      <c r="C70" s="452" t="str">
        <f>"   FCR less Depreciation  (TCOS, ln "&amp;TCOS!B31&amp;")"</f>
        <v xml:space="preserve">   FCR less Depreciation  (TCOS, ln 10)</v>
      </c>
      <c r="D70" s="47"/>
      <c r="E70" s="3"/>
      <c r="F70" s="502">
        <f>TCOS!L31</f>
        <v>0.14912278949438812</v>
      </c>
      <c r="G70" s="502"/>
      <c r="H70" s="3"/>
      <c r="I70" s="490"/>
      <c r="J70" s="3"/>
      <c r="K70" s="3"/>
      <c r="Q70" s="3"/>
    </row>
    <row r="71" spans="2:17">
      <c r="B71" s="3"/>
      <c r="C71" s="1124" t="str">
        <f>"   Incremental FCR with "&amp;F17&amp;" Basis Point ROE increase, less Depreciation"</f>
        <v xml:space="preserve">   Incremental FCR with 0 Basis Point ROE increase, less Depreciation</v>
      </c>
      <c r="D71" s="1197"/>
      <c r="E71" s="3"/>
      <c r="F71" s="489">
        <f>F69-F70</f>
        <v>0</v>
      </c>
      <c r="G71" s="489"/>
      <c r="H71" s="3"/>
      <c r="I71" s="490"/>
      <c r="J71" s="3"/>
      <c r="K71" s="3"/>
      <c r="Q71" s="3"/>
    </row>
    <row r="72" spans="2:17">
      <c r="B72" s="3"/>
      <c r="C72" s="1197"/>
      <c r="D72" s="1197"/>
      <c r="E72" s="3"/>
      <c r="F72" s="489"/>
      <c r="G72" s="489"/>
      <c r="H72" s="3"/>
      <c r="I72" s="490"/>
      <c r="J72" s="3"/>
      <c r="K72" s="3"/>
      <c r="Q72" s="3"/>
    </row>
    <row r="73" spans="2:17" ht="18.75">
      <c r="B73" s="449" t="s">
        <v>463</v>
      </c>
      <c r="C73" s="6" t="s">
        <v>63</v>
      </c>
      <c r="D73" s="47"/>
      <c r="E73" s="3"/>
      <c r="F73" s="489"/>
      <c r="G73" s="489"/>
      <c r="H73" s="3"/>
      <c r="I73" s="490"/>
      <c r="J73" s="3"/>
      <c r="K73" s="3"/>
      <c r="Q73" s="3"/>
    </row>
    <row r="74" spans="2:17">
      <c r="B74" s="3"/>
      <c r="C74" s="3"/>
      <c r="D74" s="47"/>
      <c r="E74" s="3"/>
      <c r="F74" s="489"/>
      <c r="G74" s="489"/>
      <c r="H74" s="3"/>
      <c r="I74" s="490"/>
      <c r="J74" s="3"/>
      <c r="K74" s="3"/>
      <c r="Q74" s="3"/>
    </row>
    <row r="75" spans="2:17">
      <c r="B75" s="3"/>
      <c r="C75" s="3" t="str">
        <f>+"Average Transmission Plant Balance for "&amp;TCOS!L4&amp;" TCOS, ln "&amp;TCOS!B63</f>
        <v>Average Transmission Plant Balance for 2026 TCOS, ln 19</v>
      </c>
      <c r="D75" s="47"/>
      <c r="E75" s="3"/>
      <c r="F75" s="3"/>
      <c r="G75" s="3"/>
      <c r="H75" s="490">
        <f>TCOS!L63</f>
        <v>6935189789.4374428</v>
      </c>
      <c r="J75" s="3"/>
      <c r="K75" s="3"/>
      <c r="Q75" s="3"/>
    </row>
    <row r="76" spans="2:17">
      <c r="B76" s="3"/>
      <c r="C76" s="3" t="str">
        <f>"Annual Depreciation and Amortization Expense (TCOS, ln "&amp;TCOS!B161&amp;")"</f>
        <v>Annual Depreciation and Amortization Expense (TCOS, ln 83)</v>
      </c>
      <c r="D76" s="47"/>
      <c r="E76" s="3"/>
      <c r="H76" s="344">
        <f>TCOS!L161</f>
        <v>202266459.25446859</v>
      </c>
      <c r="I76" s="490"/>
      <c r="J76" s="3"/>
      <c r="K76" s="3"/>
      <c r="Q76" s="3"/>
    </row>
    <row r="77" spans="2:17">
      <c r="B77" s="3"/>
      <c r="C77" s="3" t="s">
        <v>64</v>
      </c>
      <c r="D77" s="47"/>
      <c r="E77" s="3"/>
      <c r="H77" s="634">
        <f>H76/H75</f>
        <v>2.9165237779437282E-2</v>
      </c>
      <c r="I77" s="504"/>
      <c r="J77" s="1198"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AEP Ohio Transmission Company establishes Transmission plant in service the depreciation expense component of the carrying charge will be calculated as in the Operating Company formula approved in Docket No. ER08-1329.  The calculation for AEP Ohio Transmission Company is shown on Worksheet P.</v>
      </c>
      <c r="K77" s="1198"/>
      <c r="L77" s="1198"/>
      <c r="M77" s="1198"/>
      <c r="N77" s="1198"/>
      <c r="O77" s="1198"/>
      <c r="P77" s="1198"/>
      <c r="Q77" s="450"/>
    </row>
    <row r="78" spans="2:17">
      <c r="B78" s="3"/>
      <c r="C78" s="3" t="s">
        <v>65</v>
      </c>
      <c r="D78" s="47"/>
      <c r="E78" s="3"/>
      <c r="H78" s="505">
        <f>IF(H77=0,0,1/H77)</f>
        <v>34.287394039524756</v>
      </c>
      <c r="I78" s="490"/>
      <c r="J78" s="1198"/>
      <c r="K78" s="1198"/>
      <c r="L78" s="1198"/>
      <c r="M78" s="1198"/>
      <c r="N78" s="1198"/>
      <c r="O78" s="1198"/>
      <c r="P78" s="1198"/>
      <c r="Q78" s="450"/>
    </row>
    <row r="79" spans="2:17">
      <c r="B79" s="3"/>
      <c r="C79" s="3" t="s">
        <v>588</v>
      </c>
      <c r="D79" s="47"/>
      <c r="E79" s="3"/>
      <c r="H79" s="506">
        <f>ROUND(H78,0)</f>
        <v>34</v>
      </c>
      <c r="I79" s="490"/>
      <c r="J79" s="1198"/>
      <c r="K79" s="1198"/>
      <c r="L79" s="1198"/>
      <c r="M79" s="1198"/>
      <c r="N79" s="1198"/>
      <c r="O79" s="1198"/>
      <c r="P79" s="1198"/>
      <c r="Q79" s="450"/>
    </row>
    <row r="80" spans="2:17">
      <c r="B80" s="3"/>
      <c r="C80" s="3"/>
      <c r="D80" s="47"/>
      <c r="E80" s="3"/>
      <c r="H80" s="506"/>
      <c r="I80" s="490"/>
      <c r="J80" s="1198"/>
      <c r="K80" s="1198"/>
      <c r="L80" s="1198"/>
      <c r="M80" s="1198"/>
      <c r="N80" s="1198"/>
      <c r="O80" s="1198"/>
      <c r="P80" s="1198"/>
    </row>
    <row r="81" spans="1:17" ht="20.25">
      <c r="A81" s="447" t="str">
        <f>""&amp;A6&amp;" Worksheet K -  ATRR TRUE-UP Calculation for PJM Projects Charged to Benefiting Zones"</f>
        <v>AEP Ohio Transmission Company Worksheet K -  ATRR TRUE-UP Calculation for PJM Projects Charged to Benefiting Zones</v>
      </c>
      <c r="B81" s="3"/>
      <c r="C81" s="3"/>
      <c r="D81" s="47"/>
      <c r="E81" s="3"/>
      <c r="F81" s="489"/>
      <c r="G81" s="489"/>
      <c r="H81" s="3"/>
      <c r="I81" s="490"/>
      <c r="L81" s="398"/>
      <c r="M81" s="398"/>
      <c r="N81" s="398"/>
      <c r="O81" s="398" t="str">
        <f>"Page "&amp;SUM(Q$8:Q81)&amp;" of "</f>
        <v xml:space="preserve">Page 2 of </v>
      </c>
      <c r="P81" s="448">
        <f>COUNT(Q$8:Q$57702)</f>
        <v>2</v>
      </c>
      <c r="Q81" s="508">
        <v>1</v>
      </c>
    </row>
    <row r="82" spans="1:17">
      <c r="B82" s="3"/>
      <c r="C82" s="3"/>
      <c r="D82" s="47"/>
      <c r="E82" s="3"/>
      <c r="F82" s="3"/>
      <c r="G82" s="3"/>
      <c r="H82" s="3"/>
      <c r="I82" s="490"/>
      <c r="J82" s="3"/>
      <c r="K82" s="3"/>
    </row>
    <row r="83" spans="1:17" ht="18">
      <c r="B83" s="449" t="s">
        <v>464</v>
      </c>
      <c r="C83" s="122" t="s">
        <v>85</v>
      </c>
      <c r="D83" s="47"/>
      <c r="E83" s="3"/>
      <c r="F83" s="3"/>
      <c r="G83" s="3"/>
      <c r="H83" s="3"/>
      <c r="I83" s="490"/>
      <c r="J83" s="490"/>
      <c r="K83" s="503"/>
      <c r="L83" s="490"/>
      <c r="M83" s="490"/>
      <c r="N83" s="490"/>
      <c r="O83" s="490"/>
      <c r="Q83" s="3"/>
    </row>
    <row r="84" spans="1:17" ht="18.75">
      <c r="B84" s="449"/>
      <c r="C84" s="6"/>
      <c r="D84" s="47"/>
      <c r="E84" s="3"/>
      <c r="F84" s="3"/>
      <c r="G84" s="3"/>
      <c r="H84" s="3"/>
      <c r="I84" s="490"/>
      <c r="J84" s="490"/>
      <c r="K84" s="503"/>
      <c r="L84" s="490"/>
      <c r="M84" s="490"/>
      <c r="N84" s="490"/>
      <c r="O84" s="490"/>
    </row>
    <row r="85" spans="1:17" ht="18.75">
      <c r="B85" s="449"/>
      <c r="C85" s="6" t="s">
        <v>86</v>
      </c>
      <c r="D85" s="47"/>
      <c r="E85" s="3"/>
      <c r="F85" s="3"/>
      <c r="G85" s="3"/>
      <c r="H85" s="3"/>
      <c r="I85" s="490"/>
      <c r="J85" s="490"/>
      <c r="K85" s="503"/>
      <c r="L85" s="490"/>
      <c r="M85" s="490"/>
      <c r="N85" s="490"/>
      <c r="O85" s="490"/>
    </row>
    <row r="86" spans="1:17" ht="15.75" thickBot="1">
      <c r="C86" s="131"/>
      <c r="D86" s="47"/>
      <c r="E86" s="3"/>
      <c r="F86" s="3"/>
      <c r="G86" s="3"/>
      <c r="H86" s="3"/>
      <c r="I86" s="490"/>
      <c r="J86" s="490"/>
      <c r="K86" s="503"/>
      <c r="L86" s="490"/>
      <c r="M86" s="490"/>
      <c r="N86" s="490"/>
      <c r="O86" s="490"/>
    </row>
    <row r="87" spans="1:17" ht="15.75">
      <c r="C87" s="451" t="s">
        <v>87</v>
      </c>
      <c r="D87" s="47"/>
      <c r="E87" s="3"/>
      <c r="F87" s="3"/>
      <c r="G87" s="3"/>
      <c r="H87" s="566"/>
      <c r="I87" s="3" t="s">
        <v>66</v>
      </c>
      <c r="J87" s="3"/>
      <c r="K87" s="3"/>
      <c r="L87" s="593">
        <f>+J93</f>
        <v>2016</v>
      </c>
      <c r="M87" s="576" t="s">
        <v>45</v>
      </c>
      <c r="N87" s="576" t="s">
        <v>46</v>
      </c>
      <c r="O87" s="577" t="s">
        <v>47</v>
      </c>
    </row>
    <row r="88" spans="1:17" ht="15.75">
      <c r="C88" s="451"/>
      <c r="D88" s="47"/>
      <c r="E88" s="3"/>
      <c r="F88" s="3"/>
      <c r="H88" s="3"/>
      <c r="I88" s="513"/>
      <c r="J88" s="513"/>
      <c r="K88" s="514"/>
      <c r="L88" s="594" t="s">
        <v>235</v>
      </c>
      <c r="M88" s="595" t="e">
        <f>VLOOKUP(J93,C100:P159,10)</f>
        <v>#N/A</v>
      </c>
      <c r="N88" s="595" t="e">
        <f>VLOOKUP(J93,C100:P159,12)</f>
        <v>#N/A</v>
      </c>
      <c r="O88" s="596" t="e">
        <f>+N88-M88</f>
        <v>#N/A</v>
      </c>
    </row>
    <row r="89" spans="1:17">
      <c r="C89" s="518" t="s">
        <v>88</v>
      </c>
      <c r="D89" s="1194"/>
      <c r="E89" s="1194"/>
      <c r="F89" s="1194"/>
      <c r="G89" s="1194"/>
      <c r="H89" s="1194"/>
      <c r="I89" s="1194"/>
      <c r="J89" s="490"/>
      <c r="K89" s="503"/>
      <c r="L89" s="594" t="s">
        <v>236</v>
      </c>
      <c r="M89" s="597" t="e">
        <f>VLOOKUP(J93,C100:P159,6)</f>
        <v>#N/A</v>
      </c>
      <c r="N89" s="597" t="e">
        <f>VLOOKUP(J93,C100:P159,7)</f>
        <v>#N/A</v>
      </c>
      <c r="O89" s="598" t="e">
        <f>+N89-M89</f>
        <v>#N/A</v>
      </c>
    </row>
    <row r="90" spans="1:17" ht="13.5" thickBot="1">
      <c r="C90" s="522"/>
      <c r="D90" s="523"/>
      <c r="E90" s="506"/>
      <c r="F90" s="506"/>
      <c r="G90" s="506"/>
      <c r="H90" s="524"/>
      <c r="I90" s="490"/>
      <c r="J90" s="490"/>
      <c r="K90" s="503"/>
      <c r="L90" s="533" t="s">
        <v>237</v>
      </c>
      <c r="M90" s="599" t="e">
        <f>+M89-M88</f>
        <v>#N/A</v>
      </c>
      <c r="N90" s="599" t="e">
        <f>+N89-N88</f>
        <v>#N/A</v>
      </c>
      <c r="O90" s="600" t="e">
        <f>+O89-O88</f>
        <v>#N/A</v>
      </c>
    </row>
    <row r="91" spans="1:17" ht="13.5" thickBot="1">
      <c r="C91" s="522"/>
      <c r="D91" s="3"/>
      <c r="E91" s="524"/>
      <c r="F91" s="524"/>
      <c r="G91" s="524"/>
      <c r="H91" s="524"/>
      <c r="I91" s="524"/>
      <c r="J91" s="524"/>
      <c r="K91" s="524"/>
      <c r="L91" s="524"/>
      <c r="M91" s="524"/>
      <c r="N91" s="524"/>
      <c r="O91" s="524"/>
    </row>
    <row r="92" spans="1:17" ht="13.5" thickBot="1">
      <c r="C92" s="525" t="s">
        <v>89</v>
      </c>
      <c r="D92" s="526"/>
      <c r="E92" s="526"/>
      <c r="F92" s="526"/>
      <c r="G92" s="526"/>
      <c r="H92" s="526"/>
      <c r="I92" s="526"/>
      <c r="J92" s="526"/>
    </row>
    <row r="93" spans="1:17" ht="15">
      <c r="C93" s="528" t="s">
        <v>67</v>
      </c>
      <c r="D93" s="568"/>
      <c r="E93" s="3" t="s">
        <v>68</v>
      </c>
      <c r="H93" s="47"/>
      <c r="I93" s="47"/>
      <c r="J93" s="529">
        <v>2016</v>
      </c>
      <c r="K93" s="70"/>
      <c r="L93" s="1193" t="s">
        <v>69</v>
      </c>
      <c r="M93" s="1193"/>
      <c r="N93" s="1193"/>
      <c r="O93" s="1193"/>
    </row>
    <row r="94" spans="1:17">
      <c r="C94" s="528" t="s">
        <v>70</v>
      </c>
      <c r="D94" s="569"/>
      <c r="E94" s="528" t="s">
        <v>71</v>
      </c>
      <c r="F94" s="47"/>
      <c r="G94" s="47"/>
      <c r="I94"/>
      <c r="J94" s="570">
        <f>IF(H87="",0,$F$17)</f>
        <v>0</v>
      </c>
      <c r="K94" s="530"/>
      <c r="L94" s="503" t="s">
        <v>277</v>
      </c>
    </row>
    <row r="95" spans="1:17">
      <c r="C95" s="528" t="s">
        <v>72</v>
      </c>
      <c r="D95" s="568"/>
      <c r="E95" s="528" t="s">
        <v>73</v>
      </c>
      <c r="F95" s="47"/>
      <c r="G95" s="47"/>
      <c r="I95"/>
      <c r="J95" s="531">
        <f>$F$70</f>
        <v>0.14912278949438812</v>
      </c>
      <c r="K95" s="489"/>
      <c r="L95" s="3" t="str">
        <f>"          INPUT TRUE-UP ARR (WITH &amp; WITHOUT INCENTIVES) FROM EACH PRIOR YEAR"</f>
        <v xml:space="preserve">          INPUT TRUE-UP ARR (WITH &amp; WITHOUT INCENTIVES) FROM EACH PRIOR YEAR</v>
      </c>
    </row>
    <row r="96" spans="1:17">
      <c r="C96" s="528" t="s">
        <v>74</v>
      </c>
      <c r="D96" s="532">
        <f>H$79</f>
        <v>34</v>
      </c>
      <c r="E96" s="528" t="s">
        <v>75</v>
      </c>
      <c r="F96" s="47"/>
      <c r="G96" s="47"/>
      <c r="I96"/>
      <c r="J96" s="531">
        <f>IF(H87="",+J95,$F$69)</f>
        <v>0.14912278949438812</v>
      </c>
      <c r="K96" s="489"/>
      <c r="L96" s="3" t="s">
        <v>157</v>
      </c>
      <c r="M96" s="489"/>
      <c r="N96" s="489"/>
      <c r="O96" s="489"/>
    </row>
    <row r="97" spans="2:16" ht="13.5" thickBot="1">
      <c r="C97" s="528" t="s">
        <v>76</v>
      </c>
      <c r="D97" s="567"/>
      <c r="E97" s="533" t="s">
        <v>77</v>
      </c>
      <c r="F97" s="534"/>
      <c r="G97" s="534"/>
      <c r="H97" s="535"/>
      <c r="I97" s="535"/>
      <c r="J97" s="521">
        <f>IF(D93=0,0,D93/D96)</f>
        <v>0</v>
      </c>
      <c r="K97" s="503"/>
      <c r="L97" s="503" t="s">
        <v>158</v>
      </c>
      <c r="M97" s="503"/>
      <c r="N97" s="503"/>
      <c r="O97" s="503"/>
    </row>
    <row r="98" spans="2:16" ht="38.25">
      <c r="B98" s="450"/>
      <c r="C98" s="536" t="s">
        <v>67</v>
      </c>
      <c r="D98" s="537" t="s">
        <v>78</v>
      </c>
      <c r="E98" s="538" t="s">
        <v>79</v>
      </c>
      <c r="F98" s="537" t="s">
        <v>80</v>
      </c>
      <c r="G98" s="537" t="s">
        <v>238</v>
      </c>
      <c r="H98" s="538" t="s">
        <v>151</v>
      </c>
      <c r="I98" s="539" t="s">
        <v>151</v>
      </c>
      <c r="J98" s="536" t="s">
        <v>90</v>
      </c>
      <c r="K98" s="540"/>
      <c r="L98" s="538" t="s">
        <v>153</v>
      </c>
      <c r="M98" s="538" t="s">
        <v>159</v>
      </c>
      <c r="N98" s="538" t="s">
        <v>153</v>
      </c>
      <c r="O98" s="538" t="s">
        <v>161</v>
      </c>
      <c r="P98" s="538" t="s">
        <v>81</v>
      </c>
    </row>
    <row r="99" spans="2:16" ht="13.5" thickBot="1">
      <c r="C99" s="542" t="s">
        <v>467</v>
      </c>
      <c r="D99" s="543" t="s">
        <v>468</v>
      </c>
      <c r="E99" s="542" t="s">
        <v>361</v>
      </c>
      <c r="F99" s="543" t="s">
        <v>468</v>
      </c>
      <c r="G99" s="543" t="s">
        <v>468</v>
      </c>
      <c r="H99" s="544" t="s">
        <v>93</v>
      </c>
      <c r="I99" s="545" t="s">
        <v>95</v>
      </c>
      <c r="J99" s="542" t="s">
        <v>15</v>
      </c>
      <c r="K99" s="546"/>
      <c r="L99" s="544" t="s">
        <v>82</v>
      </c>
      <c r="M99" s="544" t="s">
        <v>82</v>
      </c>
      <c r="N99" s="544" t="s">
        <v>255</v>
      </c>
      <c r="O99" s="544" t="s">
        <v>255</v>
      </c>
      <c r="P99" s="544" t="s">
        <v>255</v>
      </c>
    </row>
    <row r="100" spans="2:16">
      <c r="C100" s="548" t="str">
        <f>IF(D94= "","-",D94)</f>
        <v>-</v>
      </c>
      <c r="D100" s="506">
        <f>+D93</f>
        <v>0</v>
      </c>
      <c r="E100" s="554">
        <f>+J97/12*(12-D95)</f>
        <v>0</v>
      </c>
      <c r="F100" s="601">
        <f t="shared" ref="F100:F159" si="0">+D100-E100</f>
        <v>0</v>
      </c>
      <c r="G100" s="506">
        <f>+(D100+F100)/2</f>
        <v>0</v>
      </c>
      <c r="H100" s="550">
        <f>+J95*G100+E100</f>
        <v>0</v>
      </c>
      <c r="I100" s="551">
        <f>+J96*G100+E100</f>
        <v>0</v>
      </c>
      <c r="J100" s="552">
        <f>+I100-H100</f>
        <v>0</v>
      </c>
      <c r="K100" s="552"/>
      <c r="L100" s="571"/>
      <c r="M100" s="602">
        <f t="shared" ref="M100:M159" si="1">IF(L100&lt;&gt;0,+H100-L100,0)</f>
        <v>0</v>
      </c>
      <c r="N100" s="571"/>
      <c r="O100" s="602">
        <f t="shared" ref="O100:O159" si="2">IF(N100&lt;&gt;0,+I100-N100,0)</f>
        <v>0</v>
      </c>
      <c r="P100" s="602">
        <f t="shared" ref="P100:P159" si="3">+O100-M100</f>
        <v>0</v>
      </c>
    </row>
    <row r="101" spans="2:16">
      <c r="C101" s="548" t="str">
        <f>IF(D94="","-",+C100+1)</f>
        <v>-</v>
      </c>
      <c r="D101" s="506">
        <f t="shared" ref="D101:D159" si="4">F100</f>
        <v>0</v>
      </c>
      <c r="E101" s="549">
        <f>IF(D101&gt;$J$97,$J$97,D101)</f>
        <v>0</v>
      </c>
      <c r="F101" s="549">
        <f t="shared" si="0"/>
        <v>0</v>
      </c>
      <c r="G101" s="506">
        <f t="shared" ref="G101:G159" si="5">+(D101+F101)/2</f>
        <v>0</v>
      </c>
      <c r="H101" s="554">
        <f>+J95*G101+E101</f>
        <v>0</v>
      </c>
      <c r="I101" s="555">
        <f>+J96*G101+E101</f>
        <v>0</v>
      </c>
      <c r="J101" s="552">
        <f>+I101-H101</f>
        <v>0</v>
      </c>
      <c r="K101" s="552"/>
      <c r="L101" s="572"/>
      <c r="M101" s="552">
        <f t="shared" si="1"/>
        <v>0</v>
      </c>
      <c r="N101" s="572"/>
      <c r="O101" s="552">
        <f t="shared" si="2"/>
        <v>0</v>
      </c>
      <c r="P101" s="552">
        <f t="shared" si="3"/>
        <v>0</v>
      </c>
    </row>
    <row r="102" spans="2:16">
      <c r="C102" s="548" t="str">
        <f>IF(D94="","-",+C101+1)</f>
        <v>-</v>
      </c>
      <c r="D102" s="506">
        <f t="shared" si="4"/>
        <v>0</v>
      </c>
      <c r="E102" s="549">
        <f t="shared" ref="E102:E159" si="6">IF(D102&gt;$J$97,$J$97,D102)</f>
        <v>0</v>
      </c>
      <c r="F102" s="549">
        <f t="shared" si="0"/>
        <v>0</v>
      </c>
      <c r="G102" s="506">
        <f t="shared" si="5"/>
        <v>0</v>
      </c>
      <c r="H102" s="554">
        <f>+J95*G102+E102</f>
        <v>0</v>
      </c>
      <c r="I102" s="555">
        <f>+J96*G102+E102</f>
        <v>0</v>
      </c>
      <c r="J102" s="552">
        <f t="shared" ref="J102:J159" si="7">+I102-H102</f>
        <v>0</v>
      </c>
      <c r="K102" s="552"/>
      <c r="L102" s="572"/>
      <c r="M102" s="552">
        <f t="shared" si="1"/>
        <v>0</v>
      </c>
      <c r="N102" s="572"/>
      <c r="O102" s="552">
        <f t="shared" si="2"/>
        <v>0</v>
      </c>
      <c r="P102" s="552">
        <f t="shared" si="3"/>
        <v>0</v>
      </c>
    </row>
    <row r="103" spans="2:16">
      <c r="C103" s="548" t="str">
        <f>IF(D94="","-",+C102+1)</f>
        <v>-</v>
      </c>
      <c r="D103" s="506">
        <f t="shared" si="4"/>
        <v>0</v>
      </c>
      <c r="E103" s="549">
        <f t="shared" si="6"/>
        <v>0</v>
      </c>
      <c r="F103" s="549">
        <f t="shared" si="0"/>
        <v>0</v>
      </c>
      <c r="G103" s="506">
        <f t="shared" si="5"/>
        <v>0</v>
      </c>
      <c r="H103" s="554">
        <f>+J95*G103+E103</f>
        <v>0</v>
      </c>
      <c r="I103" s="555">
        <f>+J96*G103+E103</f>
        <v>0</v>
      </c>
      <c r="J103" s="552">
        <f t="shared" si="7"/>
        <v>0</v>
      </c>
      <c r="K103" s="552"/>
      <c r="L103" s="572"/>
      <c r="M103" s="552">
        <f t="shared" si="1"/>
        <v>0</v>
      </c>
      <c r="N103" s="572"/>
      <c r="O103" s="552">
        <f t="shared" si="2"/>
        <v>0</v>
      </c>
      <c r="P103" s="552">
        <f t="shared" si="3"/>
        <v>0</v>
      </c>
    </row>
    <row r="104" spans="2:16">
      <c r="C104" s="548" t="str">
        <f>IF(D94="","-",+C103+1)</f>
        <v>-</v>
      </c>
      <c r="D104" s="506">
        <f t="shared" si="4"/>
        <v>0</v>
      </c>
      <c r="E104" s="549">
        <f t="shared" si="6"/>
        <v>0</v>
      </c>
      <c r="F104" s="549">
        <f t="shared" si="0"/>
        <v>0</v>
      </c>
      <c r="G104" s="506">
        <f t="shared" si="5"/>
        <v>0</v>
      </c>
      <c r="H104" s="554">
        <f>+J95*G104+E104</f>
        <v>0</v>
      </c>
      <c r="I104" s="555">
        <f>+J96*G104+E104</f>
        <v>0</v>
      </c>
      <c r="J104" s="552">
        <f t="shared" si="7"/>
        <v>0</v>
      </c>
      <c r="K104" s="552"/>
      <c r="L104" s="572"/>
      <c r="M104" s="552">
        <f t="shared" si="1"/>
        <v>0</v>
      </c>
      <c r="N104" s="572"/>
      <c r="O104" s="552">
        <f t="shared" si="2"/>
        <v>0</v>
      </c>
      <c r="P104" s="552">
        <f t="shared" si="3"/>
        <v>0</v>
      </c>
    </row>
    <row r="105" spans="2:16">
      <c r="C105" s="548" t="str">
        <f>IF(D94="","-",+C104+1)</f>
        <v>-</v>
      </c>
      <c r="D105" s="506">
        <f t="shared" si="4"/>
        <v>0</v>
      </c>
      <c r="E105" s="549">
        <f t="shared" si="6"/>
        <v>0</v>
      </c>
      <c r="F105" s="549">
        <f t="shared" si="0"/>
        <v>0</v>
      </c>
      <c r="G105" s="506">
        <f t="shared" si="5"/>
        <v>0</v>
      </c>
      <c r="H105" s="554">
        <f>+J95*G105+E105</f>
        <v>0</v>
      </c>
      <c r="I105" s="555">
        <f>+J96*G105+E105</f>
        <v>0</v>
      </c>
      <c r="J105" s="552">
        <f t="shared" si="7"/>
        <v>0</v>
      </c>
      <c r="K105" s="552"/>
      <c r="L105" s="572"/>
      <c r="M105" s="552">
        <f t="shared" si="1"/>
        <v>0</v>
      </c>
      <c r="N105" s="572"/>
      <c r="O105" s="552">
        <f t="shared" si="2"/>
        <v>0</v>
      </c>
      <c r="P105" s="552">
        <f t="shared" si="3"/>
        <v>0</v>
      </c>
    </row>
    <row r="106" spans="2:16">
      <c r="C106" s="548" t="str">
        <f>IF(D94="","-",+C105+1)</f>
        <v>-</v>
      </c>
      <c r="D106" s="506">
        <f t="shared" si="4"/>
        <v>0</v>
      </c>
      <c r="E106" s="549">
        <f t="shared" si="6"/>
        <v>0</v>
      </c>
      <c r="F106" s="549">
        <f t="shared" si="0"/>
        <v>0</v>
      </c>
      <c r="G106" s="506">
        <f t="shared" si="5"/>
        <v>0</v>
      </c>
      <c r="H106" s="554">
        <f>+J95*G106+E106</f>
        <v>0</v>
      </c>
      <c r="I106" s="555">
        <f>+J96*G106+E106</f>
        <v>0</v>
      </c>
      <c r="J106" s="552">
        <f t="shared" si="7"/>
        <v>0</v>
      </c>
      <c r="K106" s="552"/>
      <c r="L106" s="572"/>
      <c r="M106" s="552">
        <f t="shared" si="1"/>
        <v>0</v>
      </c>
      <c r="N106" s="572"/>
      <c r="O106" s="552">
        <f t="shared" si="2"/>
        <v>0</v>
      </c>
      <c r="P106" s="552">
        <f t="shared" si="3"/>
        <v>0</v>
      </c>
    </row>
    <row r="107" spans="2:16">
      <c r="C107" s="548" t="str">
        <f>IF(D94="","-",+C106+1)</f>
        <v>-</v>
      </c>
      <c r="D107" s="506">
        <f t="shared" si="4"/>
        <v>0</v>
      </c>
      <c r="E107" s="549">
        <f t="shared" si="6"/>
        <v>0</v>
      </c>
      <c r="F107" s="549">
        <f t="shared" si="0"/>
        <v>0</v>
      </c>
      <c r="G107" s="506">
        <f t="shared" si="5"/>
        <v>0</v>
      </c>
      <c r="H107" s="554">
        <f>+J95*G107+E107</f>
        <v>0</v>
      </c>
      <c r="I107" s="555">
        <f>+J96*G107+E107</f>
        <v>0</v>
      </c>
      <c r="J107" s="552">
        <f t="shared" si="7"/>
        <v>0</v>
      </c>
      <c r="K107" s="552"/>
      <c r="L107" s="572"/>
      <c r="M107" s="552">
        <f t="shared" si="1"/>
        <v>0</v>
      </c>
      <c r="N107" s="572"/>
      <c r="O107" s="552">
        <f t="shared" si="2"/>
        <v>0</v>
      </c>
      <c r="P107" s="552">
        <f t="shared" si="3"/>
        <v>0</v>
      </c>
    </row>
    <row r="108" spans="2:16">
      <c r="C108" s="548" t="str">
        <f>IF(D94="","-",+C107+1)</f>
        <v>-</v>
      </c>
      <c r="D108" s="506">
        <f t="shared" si="4"/>
        <v>0</v>
      </c>
      <c r="E108" s="549">
        <f t="shared" si="6"/>
        <v>0</v>
      </c>
      <c r="F108" s="549">
        <f t="shared" si="0"/>
        <v>0</v>
      </c>
      <c r="G108" s="506">
        <f t="shared" si="5"/>
        <v>0</v>
      </c>
      <c r="H108" s="554">
        <f>+J95*G108+E108</f>
        <v>0</v>
      </c>
      <c r="I108" s="555">
        <f>+J96*G108+E108</f>
        <v>0</v>
      </c>
      <c r="J108" s="552">
        <f t="shared" si="7"/>
        <v>0</v>
      </c>
      <c r="K108" s="552"/>
      <c r="L108" s="572"/>
      <c r="M108" s="552">
        <f t="shared" si="1"/>
        <v>0</v>
      </c>
      <c r="N108" s="572"/>
      <c r="O108" s="552">
        <f t="shared" si="2"/>
        <v>0</v>
      </c>
      <c r="P108" s="552">
        <f t="shared" si="3"/>
        <v>0</v>
      </c>
    </row>
    <row r="109" spans="2:16">
      <c r="C109" s="548" t="str">
        <f>IF(D94="","-",+C108+1)</f>
        <v>-</v>
      </c>
      <c r="D109" s="506">
        <f t="shared" si="4"/>
        <v>0</v>
      </c>
      <c r="E109" s="549">
        <f t="shared" si="6"/>
        <v>0</v>
      </c>
      <c r="F109" s="549">
        <f t="shared" si="0"/>
        <v>0</v>
      </c>
      <c r="G109" s="506">
        <f t="shared" si="5"/>
        <v>0</v>
      </c>
      <c r="H109" s="554">
        <f>+J95*G109+E109</f>
        <v>0</v>
      </c>
      <c r="I109" s="555">
        <f>+J96*G109+E109</f>
        <v>0</v>
      </c>
      <c r="J109" s="552">
        <f t="shared" si="7"/>
        <v>0</v>
      </c>
      <c r="K109" s="552"/>
      <c r="L109" s="572"/>
      <c r="M109" s="552">
        <f t="shared" si="1"/>
        <v>0</v>
      </c>
      <c r="N109" s="572"/>
      <c r="O109" s="552">
        <f t="shared" si="2"/>
        <v>0</v>
      </c>
      <c r="P109" s="552">
        <f t="shared" si="3"/>
        <v>0</v>
      </c>
    </row>
    <row r="110" spans="2:16">
      <c r="C110" s="548" t="str">
        <f>IF(D94="","-",+C109+1)</f>
        <v>-</v>
      </c>
      <c r="D110" s="506">
        <f t="shared" si="4"/>
        <v>0</v>
      </c>
      <c r="E110" s="549">
        <f t="shared" si="6"/>
        <v>0</v>
      </c>
      <c r="F110" s="549">
        <f t="shared" si="0"/>
        <v>0</v>
      </c>
      <c r="G110" s="506">
        <f t="shared" si="5"/>
        <v>0</v>
      </c>
      <c r="H110" s="554">
        <f>+J95*G110+E110</f>
        <v>0</v>
      </c>
      <c r="I110" s="555">
        <f>+J96*G110+E110</f>
        <v>0</v>
      </c>
      <c r="J110" s="552">
        <f t="shared" si="7"/>
        <v>0</v>
      </c>
      <c r="K110" s="552"/>
      <c r="L110" s="572"/>
      <c r="M110" s="552">
        <f t="shared" si="1"/>
        <v>0</v>
      </c>
      <c r="N110" s="572"/>
      <c r="O110" s="552">
        <f t="shared" si="2"/>
        <v>0</v>
      </c>
      <c r="P110" s="552">
        <f t="shared" si="3"/>
        <v>0</v>
      </c>
    </row>
    <row r="111" spans="2:16">
      <c r="C111" s="548" t="str">
        <f>IF(D94="","-",+C110+1)</f>
        <v>-</v>
      </c>
      <c r="D111" s="506">
        <f t="shared" si="4"/>
        <v>0</v>
      </c>
      <c r="E111" s="549">
        <f t="shared" si="6"/>
        <v>0</v>
      </c>
      <c r="F111" s="549">
        <f t="shared" si="0"/>
        <v>0</v>
      </c>
      <c r="G111" s="506">
        <f t="shared" si="5"/>
        <v>0</v>
      </c>
      <c r="H111" s="554">
        <f>+J95*G111+E111</f>
        <v>0</v>
      </c>
      <c r="I111" s="555">
        <f>+J96*G111+E111</f>
        <v>0</v>
      </c>
      <c r="J111" s="552">
        <f t="shared" si="7"/>
        <v>0</v>
      </c>
      <c r="K111" s="552"/>
      <c r="L111" s="572"/>
      <c r="M111" s="552">
        <f t="shared" si="1"/>
        <v>0</v>
      </c>
      <c r="N111" s="572"/>
      <c r="O111" s="552">
        <f t="shared" si="2"/>
        <v>0</v>
      </c>
      <c r="P111" s="552">
        <f t="shared" si="3"/>
        <v>0</v>
      </c>
    </row>
    <row r="112" spans="2:16">
      <c r="C112" s="548" t="str">
        <f>IF(D94="","-",+C111+1)</f>
        <v>-</v>
      </c>
      <c r="D112" s="506">
        <f t="shared" si="4"/>
        <v>0</v>
      </c>
      <c r="E112" s="549">
        <f t="shared" si="6"/>
        <v>0</v>
      </c>
      <c r="F112" s="549">
        <f t="shared" si="0"/>
        <v>0</v>
      </c>
      <c r="G112" s="506">
        <f t="shared" si="5"/>
        <v>0</v>
      </c>
      <c r="H112" s="554">
        <f>+J95*G112+E112</f>
        <v>0</v>
      </c>
      <c r="I112" s="555">
        <f>+J96*G112+E112</f>
        <v>0</v>
      </c>
      <c r="J112" s="552">
        <f t="shared" si="7"/>
        <v>0</v>
      </c>
      <c r="K112" s="552"/>
      <c r="L112" s="572"/>
      <c r="M112" s="552">
        <f t="shared" si="1"/>
        <v>0</v>
      </c>
      <c r="N112" s="572"/>
      <c r="O112" s="552">
        <f t="shared" si="2"/>
        <v>0</v>
      </c>
      <c r="P112" s="552">
        <f t="shared" si="3"/>
        <v>0</v>
      </c>
    </row>
    <row r="113" spans="3:16">
      <c r="C113" s="548" t="str">
        <f>IF(D94="","-",+C112+1)</f>
        <v>-</v>
      </c>
      <c r="D113" s="506">
        <f t="shared" si="4"/>
        <v>0</v>
      </c>
      <c r="E113" s="549">
        <f t="shared" si="6"/>
        <v>0</v>
      </c>
      <c r="F113" s="549">
        <f t="shared" si="0"/>
        <v>0</v>
      </c>
      <c r="G113" s="506">
        <f t="shared" si="5"/>
        <v>0</v>
      </c>
      <c r="H113" s="554">
        <f>+J95*G113+E113</f>
        <v>0</v>
      </c>
      <c r="I113" s="555">
        <f>+J96*G113+E113</f>
        <v>0</v>
      </c>
      <c r="J113" s="552">
        <f t="shared" si="7"/>
        <v>0</v>
      </c>
      <c r="K113" s="552"/>
      <c r="L113" s="572"/>
      <c r="M113" s="552">
        <f t="shared" si="1"/>
        <v>0</v>
      </c>
      <c r="N113" s="572"/>
      <c r="O113" s="552">
        <f t="shared" si="2"/>
        <v>0</v>
      </c>
      <c r="P113" s="552">
        <f t="shared" si="3"/>
        <v>0</v>
      </c>
    </row>
    <row r="114" spans="3:16">
      <c r="C114" s="548" t="str">
        <f>IF(D94="","-",+C113+1)</f>
        <v>-</v>
      </c>
      <c r="D114" s="506">
        <f t="shared" si="4"/>
        <v>0</v>
      </c>
      <c r="E114" s="549">
        <f t="shared" si="6"/>
        <v>0</v>
      </c>
      <c r="F114" s="549">
        <f t="shared" si="0"/>
        <v>0</v>
      </c>
      <c r="G114" s="506">
        <f t="shared" si="5"/>
        <v>0</v>
      </c>
      <c r="H114" s="554">
        <f>+J95*G114+E114</f>
        <v>0</v>
      </c>
      <c r="I114" s="555">
        <f>+J96*G114+E114</f>
        <v>0</v>
      </c>
      <c r="J114" s="552">
        <f t="shared" si="7"/>
        <v>0</v>
      </c>
      <c r="K114" s="552"/>
      <c r="L114" s="572"/>
      <c r="M114" s="552">
        <f t="shared" si="1"/>
        <v>0</v>
      </c>
      <c r="N114" s="572"/>
      <c r="O114" s="552">
        <f t="shared" si="2"/>
        <v>0</v>
      </c>
      <c r="P114" s="552">
        <f t="shared" si="3"/>
        <v>0</v>
      </c>
    </row>
    <row r="115" spans="3:16">
      <c r="C115" s="548" t="str">
        <f>IF(D94="","-",+C114+1)</f>
        <v>-</v>
      </c>
      <c r="D115" s="506">
        <f t="shared" si="4"/>
        <v>0</v>
      </c>
      <c r="E115" s="549">
        <f t="shared" si="6"/>
        <v>0</v>
      </c>
      <c r="F115" s="549">
        <f t="shared" si="0"/>
        <v>0</v>
      </c>
      <c r="G115" s="506">
        <f t="shared" si="5"/>
        <v>0</v>
      </c>
      <c r="H115" s="554">
        <f>+J95*G115+E115</f>
        <v>0</v>
      </c>
      <c r="I115" s="555">
        <f>+J96*G115+E115</f>
        <v>0</v>
      </c>
      <c r="J115" s="552">
        <f t="shared" si="7"/>
        <v>0</v>
      </c>
      <c r="K115" s="552"/>
      <c r="L115" s="572"/>
      <c r="M115" s="552">
        <f t="shared" si="1"/>
        <v>0</v>
      </c>
      <c r="N115" s="572"/>
      <c r="O115" s="552">
        <f t="shared" si="2"/>
        <v>0</v>
      </c>
      <c r="P115" s="552">
        <f t="shared" si="3"/>
        <v>0</v>
      </c>
    </row>
    <row r="116" spans="3:16">
      <c r="C116" s="548" t="str">
        <f>IF(D94="","-",+C115+1)</f>
        <v>-</v>
      </c>
      <c r="D116" s="506">
        <f t="shared" si="4"/>
        <v>0</v>
      </c>
      <c r="E116" s="549">
        <f t="shared" si="6"/>
        <v>0</v>
      </c>
      <c r="F116" s="549">
        <f t="shared" si="0"/>
        <v>0</v>
      </c>
      <c r="G116" s="506">
        <f t="shared" si="5"/>
        <v>0</v>
      </c>
      <c r="H116" s="554">
        <f>+J95*G116+E116</f>
        <v>0</v>
      </c>
      <c r="I116" s="555">
        <f>+J96*G116+E116</f>
        <v>0</v>
      </c>
      <c r="J116" s="552">
        <f t="shared" si="7"/>
        <v>0</v>
      </c>
      <c r="K116" s="552"/>
      <c r="L116" s="572"/>
      <c r="M116" s="552">
        <f t="shared" si="1"/>
        <v>0</v>
      </c>
      <c r="N116" s="572"/>
      <c r="O116" s="552">
        <f t="shared" si="2"/>
        <v>0</v>
      </c>
      <c r="P116" s="552">
        <f t="shared" si="3"/>
        <v>0</v>
      </c>
    </row>
    <row r="117" spans="3:16">
      <c r="C117" s="548" t="str">
        <f>IF(D94="","-",+C116+1)</f>
        <v>-</v>
      </c>
      <c r="D117" s="506">
        <f t="shared" si="4"/>
        <v>0</v>
      </c>
      <c r="E117" s="549">
        <f t="shared" si="6"/>
        <v>0</v>
      </c>
      <c r="F117" s="549">
        <f t="shared" si="0"/>
        <v>0</v>
      </c>
      <c r="G117" s="506">
        <f t="shared" si="5"/>
        <v>0</v>
      </c>
      <c r="H117" s="554">
        <f>+J95*G117+E117</f>
        <v>0</v>
      </c>
      <c r="I117" s="555">
        <f>+J96*G117+E117</f>
        <v>0</v>
      </c>
      <c r="J117" s="552">
        <f t="shared" si="7"/>
        <v>0</v>
      </c>
      <c r="K117" s="552"/>
      <c r="L117" s="572"/>
      <c r="M117" s="552">
        <f t="shared" si="1"/>
        <v>0</v>
      </c>
      <c r="N117" s="572"/>
      <c r="O117" s="552">
        <f t="shared" si="2"/>
        <v>0</v>
      </c>
      <c r="P117" s="552">
        <f t="shared" si="3"/>
        <v>0</v>
      </c>
    </row>
    <row r="118" spans="3:16">
      <c r="C118" s="548" t="str">
        <f>IF(D94="","-",+C117+1)</f>
        <v>-</v>
      </c>
      <c r="D118" s="506">
        <f t="shared" si="4"/>
        <v>0</v>
      </c>
      <c r="E118" s="549">
        <f t="shared" si="6"/>
        <v>0</v>
      </c>
      <c r="F118" s="549">
        <f t="shared" si="0"/>
        <v>0</v>
      </c>
      <c r="G118" s="506">
        <f t="shared" si="5"/>
        <v>0</v>
      </c>
      <c r="H118" s="554">
        <f>+J95*G118+E118</f>
        <v>0</v>
      </c>
      <c r="I118" s="555">
        <f>+J96*G118+E118</f>
        <v>0</v>
      </c>
      <c r="J118" s="552">
        <f t="shared" si="7"/>
        <v>0</v>
      </c>
      <c r="K118" s="552"/>
      <c r="L118" s="572"/>
      <c r="M118" s="552">
        <f t="shared" si="1"/>
        <v>0</v>
      </c>
      <c r="N118" s="572"/>
      <c r="O118" s="552">
        <f t="shared" si="2"/>
        <v>0</v>
      </c>
      <c r="P118" s="552">
        <f t="shared" si="3"/>
        <v>0</v>
      </c>
    </row>
    <row r="119" spans="3:16">
      <c r="C119" s="548" t="str">
        <f>IF(D94="","-",+C118+1)</f>
        <v>-</v>
      </c>
      <c r="D119" s="506">
        <f t="shared" si="4"/>
        <v>0</v>
      </c>
      <c r="E119" s="549">
        <f t="shared" si="6"/>
        <v>0</v>
      </c>
      <c r="F119" s="549">
        <f t="shared" si="0"/>
        <v>0</v>
      </c>
      <c r="G119" s="506">
        <f t="shared" si="5"/>
        <v>0</v>
      </c>
      <c r="H119" s="554">
        <f>+J95*G119+E119</f>
        <v>0</v>
      </c>
      <c r="I119" s="555">
        <f>+J96*G119+E119</f>
        <v>0</v>
      </c>
      <c r="J119" s="552">
        <f t="shared" si="7"/>
        <v>0</v>
      </c>
      <c r="K119" s="552"/>
      <c r="L119" s="572"/>
      <c r="M119" s="552">
        <f t="shared" si="1"/>
        <v>0</v>
      </c>
      <c r="N119" s="572"/>
      <c r="O119" s="552">
        <f t="shared" si="2"/>
        <v>0</v>
      </c>
      <c r="P119" s="552">
        <f t="shared" si="3"/>
        <v>0</v>
      </c>
    </row>
    <row r="120" spans="3:16">
      <c r="C120" s="548" t="str">
        <f>IF(D94="","-",+C119+1)</f>
        <v>-</v>
      </c>
      <c r="D120" s="506">
        <f t="shared" si="4"/>
        <v>0</v>
      </c>
      <c r="E120" s="549">
        <f t="shared" si="6"/>
        <v>0</v>
      </c>
      <c r="F120" s="549">
        <f t="shared" si="0"/>
        <v>0</v>
      </c>
      <c r="G120" s="506">
        <f t="shared" si="5"/>
        <v>0</v>
      </c>
      <c r="H120" s="554">
        <f>+J95*G120+E120</f>
        <v>0</v>
      </c>
      <c r="I120" s="555">
        <f>+J96*G120+E120</f>
        <v>0</v>
      </c>
      <c r="J120" s="552">
        <f t="shared" si="7"/>
        <v>0</v>
      </c>
      <c r="K120" s="552"/>
      <c r="L120" s="572"/>
      <c r="M120" s="552">
        <f t="shared" si="1"/>
        <v>0</v>
      </c>
      <c r="N120" s="572"/>
      <c r="O120" s="552">
        <f t="shared" si="2"/>
        <v>0</v>
      </c>
      <c r="P120" s="552">
        <f t="shared" si="3"/>
        <v>0</v>
      </c>
    </row>
    <row r="121" spans="3:16">
      <c r="C121" s="548" t="str">
        <f>IF(D94="","-",+C120+1)</f>
        <v>-</v>
      </c>
      <c r="D121" s="506">
        <f t="shared" si="4"/>
        <v>0</v>
      </c>
      <c r="E121" s="549">
        <f t="shared" si="6"/>
        <v>0</v>
      </c>
      <c r="F121" s="549">
        <f t="shared" si="0"/>
        <v>0</v>
      </c>
      <c r="G121" s="506">
        <f t="shared" si="5"/>
        <v>0</v>
      </c>
      <c r="H121" s="554">
        <f>+J95*G121+E121</f>
        <v>0</v>
      </c>
      <c r="I121" s="555">
        <f>+J96*G121+E121</f>
        <v>0</v>
      </c>
      <c r="J121" s="552">
        <f t="shared" si="7"/>
        <v>0</v>
      </c>
      <c r="K121" s="552"/>
      <c r="L121" s="572"/>
      <c r="M121" s="552">
        <f t="shared" si="1"/>
        <v>0</v>
      </c>
      <c r="N121" s="572"/>
      <c r="O121" s="552">
        <f t="shared" si="2"/>
        <v>0</v>
      </c>
      <c r="P121" s="552">
        <f t="shared" si="3"/>
        <v>0</v>
      </c>
    </row>
    <row r="122" spans="3:16">
      <c r="C122" s="548" t="str">
        <f>IF(D94="","-",+C121+1)</f>
        <v>-</v>
      </c>
      <c r="D122" s="506">
        <f t="shared" si="4"/>
        <v>0</v>
      </c>
      <c r="E122" s="549">
        <f t="shared" si="6"/>
        <v>0</v>
      </c>
      <c r="F122" s="549">
        <f t="shared" si="0"/>
        <v>0</v>
      </c>
      <c r="G122" s="506">
        <f t="shared" si="5"/>
        <v>0</v>
      </c>
      <c r="H122" s="554">
        <f>+J95*G122+E122</f>
        <v>0</v>
      </c>
      <c r="I122" s="555">
        <f>+J96*G122+E122</f>
        <v>0</v>
      </c>
      <c r="J122" s="552">
        <f t="shared" si="7"/>
        <v>0</v>
      </c>
      <c r="K122" s="552"/>
      <c r="L122" s="572"/>
      <c r="M122" s="552">
        <f t="shared" si="1"/>
        <v>0</v>
      </c>
      <c r="N122" s="572"/>
      <c r="O122" s="552">
        <f t="shared" si="2"/>
        <v>0</v>
      </c>
      <c r="P122" s="552">
        <f t="shared" si="3"/>
        <v>0</v>
      </c>
    </row>
    <row r="123" spans="3:16">
      <c r="C123" s="548" t="str">
        <f>IF(D94="","-",+C122+1)</f>
        <v>-</v>
      </c>
      <c r="D123" s="506">
        <f t="shared" si="4"/>
        <v>0</v>
      </c>
      <c r="E123" s="549">
        <f t="shared" si="6"/>
        <v>0</v>
      </c>
      <c r="F123" s="549">
        <f t="shared" si="0"/>
        <v>0</v>
      </c>
      <c r="G123" s="506">
        <f t="shared" si="5"/>
        <v>0</v>
      </c>
      <c r="H123" s="554">
        <f>+J95*G123+E123</f>
        <v>0</v>
      </c>
      <c r="I123" s="555">
        <f>+J96*G123+E123</f>
        <v>0</v>
      </c>
      <c r="J123" s="552">
        <f t="shared" si="7"/>
        <v>0</v>
      </c>
      <c r="K123" s="552"/>
      <c r="L123" s="572"/>
      <c r="M123" s="552">
        <f t="shared" si="1"/>
        <v>0</v>
      </c>
      <c r="N123" s="572"/>
      <c r="O123" s="552">
        <f t="shared" si="2"/>
        <v>0</v>
      </c>
      <c r="P123" s="552">
        <f t="shared" si="3"/>
        <v>0</v>
      </c>
    </row>
    <row r="124" spans="3:16">
      <c r="C124" s="548" t="str">
        <f>IF(D94="","-",+C123+1)</f>
        <v>-</v>
      </c>
      <c r="D124" s="506">
        <f t="shared" si="4"/>
        <v>0</v>
      </c>
      <c r="E124" s="549">
        <f t="shared" si="6"/>
        <v>0</v>
      </c>
      <c r="F124" s="549">
        <f t="shared" si="0"/>
        <v>0</v>
      </c>
      <c r="G124" s="506">
        <f t="shared" si="5"/>
        <v>0</v>
      </c>
      <c r="H124" s="554">
        <f>+J95*G124+E124</f>
        <v>0</v>
      </c>
      <c r="I124" s="555">
        <f>+J96*G124+E124</f>
        <v>0</v>
      </c>
      <c r="J124" s="552">
        <f t="shared" si="7"/>
        <v>0</v>
      </c>
      <c r="K124" s="552"/>
      <c r="L124" s="572"/>
      <c r="M124" s="552">
        <f t="shared" si="1"/>
        <v>0</v>
      </c>
      <c r="N124" s="572"/>
      <c r="O124" s="552">
        <f t="shared" si="2"/>
        <v>0</v>
      </c>
      <c r="P124" s="552">
        <f t="shared" si="3"/>
        <v>0</v>
      </c>
    </row>
    <row r="125" spans="3:16">
      <c r="C125" s="548" t="str">
        <f>IF(D94="","-",+C124+1)</f>
        <v>-</v>
      </c>
      <c r="D125" s="506">
        <f t="shared" si="4"/>
        <v>0</v>
      </c>
      <c r="E125" s="549">
        <f t="shared" si="6"/>
        <v>0</v>
      </c>
      <c r="F125" s="549">
        <f t="shared" si="0"/>
        <v>0</v>
      </c>
      <c r="G125" s="506">
        <f t="shared" si="5"/>
        <v>0</v>
      </c>
      <c r="H125" s="554">
        <f>+J95*G125+E125</f>
        <v>0</v>
      </c>
      <c r="I125" s="555">
        <f>+J96*G125+E125</f>
        <v>0</v>
      </c>
      <c r="J125" s="552">
        <f t="shared" si="7"/>
        <v>0</v>
      </c>
      <c r="K125" s="552"/>
      <c r="L125" s="572"/>
      <c r="M125" s="552">
        <f t="shared" si="1"/>
        <v>0</v>
      </c>
      <c r="N125" s="572"/>
      <c r="O125" s="552">
        <f t="shared" si="2"/>
        <v>0</v>
      </c>
      <c r="P125" s="552">
        <f t="shared" si="3"/>
        <v>0</v>
      </c>
    </row>
    <row r="126" spans="3:16">
      <c r="C126" s="548" t="str">
        <f>IF(D94="","-",+C125+1)</f>
        <v>-</v>
      </c>
      <c r="D126" s="506">
        <f t="shared" si="4"/>
        <v>0</v>
      </c>
      <c r="E126" s="549">
        <f t="shared" si="6"/>
        <v>0</v>
      </c>
      <c r="F126" s="549">
        <f t="shared" si="0"/>
        <v>0</v>
      </c>
      <c r="G126" s="506">
        <f t="shared" si="5"/>
        <v>0</v>
      </c>
      <c r="H126" s="554">
        <f>+J95*G126+E126</f>
        <v>0</v>
      </c>
      <c r="I126" s="555">
        <f>+J96*G126+E126</f>
        <v>0</v>
      </c>
      <c r="J126" s="552">
        <f t="shared" si="7"/>
        <v>0</v>
      </c>
      <c r="K126" s="552"/>
      <c r="L126" s="572"/>
      <c r="M126" s="552">
        <f t="shared" si="1"/>
        <v>0</v>
      </c>
      <c r="N126" s="572"/>
      <c r="O126" s="552">
        <f t="shared" si="2"/>
        <v>0</v>
      </c>
      <c r="P126" s="552">
        <f t="shared" si="3"/>
        <v>0</v>
      </c>
    </row>
    <row r="127" spans="3:16">
      <c r="C127" s="548" t="str">
        <f>IF(D94="","-",+C126+1)</f>
        <v>-</v>
      </c>
      <c r="D127" s="506">
        <f t="shared" si="4"/>
        <v>0</v>
      </c>
      <c r="E127" s="549">
        <f t="shared" si="6"/>
        <v>0</v>
      </c>
      <c r="F127" s="549">
        <f t="shared" si="0"/>
        <v>0</v>
      </c>
      <c r="G127" s="506">
        <f t="shared" si="5"/>
        <v>0</v>
      </c>
      <c r="H127" s="554">
        <f>+J95*G127+E127</f>
        <v>0</v>
      </c>
      <c r="I127" s="555">
        <f>+J96*G127+E127</f>
        <v>0</v>
      </c>
      <c r="J127" s="552">
        <f t="shared" si="7"/>
        <v>0</v>
      </c>
      <c r="K127" s="552"/>
      <c r="L127" s="572"/>
      <c r="M127" s="552">
        <f t="shared" si="1"/>
        <v>0</v>
      </c>
      <c r="N127" s="572"/>
      <c r="O127" s="552">
        <f t="shared" si="2"/>
        <v>0</v>
      </c>
      <c r="P127" s="552">
        <f t="shared" si="3"/>
        <v>0</v>
      </c>
    </row>
    <row r="128" spans="3:16">
      <c r="C128" s="548" t="str">
        <f>IF(D94="","-",+C127+1)</f>
        <v>-</v>
      </c>
      <c r="D128" s="506">
        <f t="shared" si="4"/>
        <v>0</v>
      </c>
      <c r="E128" s="549">
        <f t="shared" si="6"/>
        <v>0</v>
      </c>
      <c r="F128" s="549">
        <f t="shared" si="0"/>
        <v>0</v>
      </c>
      <c r="G128" s="506">
        <f t="shared" si="5"/>
        <v>0</v>
      </c>
      <c r="H128" s="554">
        <f>+J95*G128+E128</f>
        <v>0</v>
      </c>
      <c r="I128" s="555">
        <f>+J96*G128+E128</f>
        <v>0</v>
      </c>
      <c r="J128" s="552">
        <f t="shared" si="7"/>
        <v>0</v>
      </c>
      <c r="K128" s="552"/>
      <c r="L128" s="572"/>
      <c r="M128" s="552">
        <f t="shared" si="1"/>
        <v>0</v>
      </c>
      <c r="N128" s="572"/>
      <c r="O128" s="552">
        <f t="shared" si="2"/>
        <v>0</v>
      </c>
      <c r="P128" s="552">
        <f t="shared" si="3"/>
        <v>0</v>
      </c>
    </row>
    <row r="129" spans="3:16">
      <c r="C129" s="548" t="str">
        <f>IF(D94="","-",+C128+1)</f>
        <v>-</v>
      </c>
      <c r="D129" s="506">
        <f t="shared" si="4"/>
        <v>0</v>
      </c>
      <c r="E129" s="549">
        <f t="shared" si="6"/>
        <v>0</v>
      </c>
      <c r="F129" s="549">
        <f t="shared" si="0"/>
        <v>0</v>
      </c>
      <c r="G129" s="506">
        <f t="shared" si="5"/>
        <v>0</v>
      </c>
      <c r="H129" s="554">
        <f>+J95*G129+E129</f>
        <v>0</v>
      </c>
      <c r="I129" s="555">
        <f>+J96*G129+E129</f>
        <v>0</v>
      </c>
      <c r="J129" s="552">
        <f t="shared" si="7"/>
        <v>0</v>
      </c>
      <c r="K129" s="552"/>
      <c r="L129" s="572"/>
      <c r="M129" s="552">
        <f t="shared" si="1"/>
        <v>0</v>
      </c>
      <c r="N129" s="572"/>
      <c r="O129" s="552">
        <f t="shared" si="2"/>
        <v>0</v>
      </c>
      <c r="P129" s="552">
        <f t="shared" si="3"/>
        <v>0</v>
      </c>
    </row>
    <row r="130" spans="3:16">
      <c r="C130" s="548" t="str">
        <f>IF(D94="","-",+C129+1)</f>
        <v>-</v>
      </c>
      <c r="D130" s="506">
        <f t="shared" si="4"/>
        <v>0</v>
      </c>
      <c r="E130" s="549">
        <f t="shared" si="6"/>
        <v>0</v>
      </c>
      <c r="F130" s="549">
        <f t="shared" si="0"/>
        <v>0</v>
      </c>
      <c r="G130" s="506">
        <f t="shared" si="5"/>
        <v>0</v>
      </c>
      <c r="H130" s="554">
        <f>+J95*G130+E130</f>
        <v>0</v>
      </c>
      <c r="I130" s="555">
        <f>+J96*G130+E130</f>
        <v>0</v>
      </c>
      <c r="J130" s="552">
        <f t="shared" si="7"/>
        <v>0</v>
      </c>
      <c r="K130" s="552"/>
      <c r="L130" s="572"/>
      <c r="M130" s="552">
        <f t="shared" si="1"/>
        <v>0</v>
      </c>
      <c r="N130" s="572"/>
      <c r="O130" s="552">
        <f t="shared" si="2"/>
        <v>0</v>
      </c>
      <c r="P130" s="552">
        <f t="shared" si="3"/>
        <v>0</v>
      </c>
    </row>
    <row r="131" spans="3:16">
      <c r="C131" s="548" t="str">
        <f>IF(D94="","-",+C130+1)</f>
        <v>-</v>
      </c>
      <c r="D131" s="506">
        <f t="shared" si="4"/>
        <v>0</v>
      </c>
      <c r="E131" s="549">
        <f t="shared" si="6"/>
        <v>0</v>
      </c>
      <c r="F131" s="549">
        <f t="shared" si="0"/>
        <v>0</v>
      </c>
      <c r="G131" s="506">
        <f t="shared" si="5"/>
        <v>0</v>
      </c>
      <c r="H131" s="554">
        <f>+J95*G131+E131</f>
        <v>0</v>
      </c>
      <c r="I131" s="555">
        <f>+J96*G131+E131</f>
        <v>0</v>
      </c>
      <c r="J131" s="552">
        <f t="shared" si="7"/>
        <v>0</v>
      </c>
      <c r="K131" s="552"/>
      <c r="L131" s="572"/>
      <c r="M131" s="552">
        <f t="shared" si="1"/>
        <v>0</v>
      </c>
      <c r="N131" s="572"/>
      <c r="O131" s="552">
        <f t="shared" si="2"/>
        <v>0</v>
      </c>
      <c r="P131" s="552">
        <f t="shared" si="3"/>
        <v>0</v>
      </c>
    </row>
    <row r="132" spans="3:16">
      <c r="C132" s="548" t="str">
        <f>IF(D94="","-",+C131+1)</f>
        <v>-</v>
      </c>
      <c r="D132" s="506">
        <f t="shared" si="4"/>
        <v>0</v>
      </c>
      <c r="E132" s="549">
        <f t="shared" si="6"/>
        <v>0</v>
      </c>
      <c r="F132" s="549">
        <f t="shared" si="0"/>
        <v>0</v>
      </c>
      <c r="G132" s="506">
        <f t="shared" si="5"/>
        <v>0</v>
      </c>
      <c r="H132" s="554">
        <f>+J95*G132+E132</f>
        <v>0</v>
      </c>
      <c r="I132" s="555">
        <f>+J96*G132+E132</f>
        <v>0</v>
      </c>
      <c r="J132" s="552">
        <f t="shared" si="7"/>
        <v>0</v>
      </c>
      <c r="K132" s="552"/>
      <c r="L132" s="572"/>
      <c r="M132" s="552">
        <f t="shared" si="1"/>
        <v>0</v>
      </c>
      <c r="N132" s="572"/>
      <c r="O132" s="552">
        <f t="shared" si="2"/>
        <v>0</v>
      </c>
      <c r="P132" s="552">
        <f t="shared" si="3"/>
        <v>0</v>
      </c>
    </row>
    <row r="133" spans="3:16">
      <c r="C133" s="548" t="str">
        <f>IF(D94="","-",+C132+1)</f>
        <v>-</v>
      </c>
      <c r="D133" s="506">
        <f t="shared" si="4"/>
        <v>0</v>
      </c>
      <c r="E133" s="549">
        <f t="shared" si="6"/>
        <v>0</v>
      </c>
      <c r="F133" s="549">
        <f t="shared" si="0"/>
        <v>0</v>
      </c>
      <c r="G133" s="506">
        <f t="shared" si="5"/>
        <v>0</v>
      </c>
      <c r="H133" s="554">
        <f>+J95*G133+E133</f>
        <v>0</v>
      </c>
      <c r="I133" s="555">
        <f>+J96*G133+E133</f>
        <v>0</v>
      </c>
      <c r="J133" s="552">
        <f t="shared" si="7"/>
        <v>0</v>
      </c>
      <c r="K133" s="552"/>
      <c r="L133" s="572"/>
      <c r="M133" s="552">
        <f t="shared" si="1"/>
        <v>0</v>
      </c>
      <c r="N133" s="572"/>
      <c r="O133" s="552">
        <f t="shared" si="2"/>
        <v>0</v>
      </c>
      <c r="P133" s="552">
        <f t="shared" si="3"/>
        <v>0</v>
      </c>
    </row>
    <row r="134" spans="3:16">
      <c r="C134" s="548" t="str">
        <f>IF(D94="","-",+C133+1)</f>
        <v>-</v>
      </c>
      <c r="D134" s="506">
        <f t="shared" si="4"/>
        <v>0</v>
      </c>
      <c r="E134" s="549">
        <f t="shared" si="6"/>
        <v>0</v>
      </c>
      <c r="F134" s="549">
        <f t="shared" si="0"/>
        <v>0</v>
      </c>
      <c r="G134" s="506">
        <f t="shared" si="5"/>
        <v>0</v>
      </c>
      <c r="H134" s="554">
        <f>+J95*G134+E134</f>
        <v>0</v>
      </c>
      <c r="I134" s="555">
        <f>+J96*G134+E134</f>
        <v>0</v>
      </c>
      <c r="J134" s="552">
        <f t="shared" si="7"/>
        <v>0</v>
      </c>
      <c r="K134" s="552"/>
      <c r="L134" s="572"/>
      <c r="M134" s="552">
        <f t="shared" si="1"/>
        <v>0</v>
      </c>
      <c r="N134" s="572"/>
      <c r="O134" s="552">
        <f t="shared" si="2"/>
        <v>0</v>
      </c>
      <c r="P134" s="552">
        <f t="shared" si="3"/>
        <v>0</v>
      </c>
    </row>
    <row r="135" spans="3:16">
      <c r="C135" s="548" t="str">
        <f>IF(D94="","-",+C134+1)</f>
        <v>-</v>
      </c>
      <c r="D135" s="506">
        <f t="shared" si="4"/>
        <v>0</v>
      </c>
      <c r="E135" s="549">
        <f t="shared" si="6"/>
        <v>0</v>
      </c>
      <c r="F135" s="549">
        <f t="shared" si="0"/>
        <v>0</v>
      </c>
      <c r="G135" s="506">
        <f t="shared" si="5"/>
        <v>0</v>
      </c>
      <c r="H135" s="554">
        <f>+J95*G135+E135</f>
        <v>0</v>
      </c>
      <c r="I135" s="555">
        <f>+J96*G135+E135</f>
        <v>0</v>
      </c>
      <c r="J135" s="552">
        <f t="shared" si="7"/>
        <v>0</v>
      </c>
      <c r="K135" s="552"/>
      <c r="L135" s="572"/>
      <c r="M135" s="552">
        <f t="shared" si="1"/>
        <v>0</v>
      </c>
      <c r="N135" s="572"/>
      <c r="O135" s="552">
        <f t="shared" si="2"/>
        <v>0</v>
      </c>
      <c r="P135" s="552">
        <f t="shared" si="3"/>
        <v>0</v>
      </c>
    </row>
    <row r="136" spans="3:16">
      <c r="C136" s="548" t="str">
        <f>IF(D94="","-",+C135+1)</f>
        <v>-</v>
      </c>
      <c r="D136" s="506">
        <f t="shared" si="4"/>
        <v>0</v>
      </c>
      <c r="E136" s="549">
        <f t="shared" si="6"/>
        <v>0</v>
      </c>
      <c r="F136" s="549">
        <f t="shared" si="0"/>
        <v>0</v>
      </c>
      <c r="G136" s="506">
        <f t="shared" si="5"/>
        <v>0</v>
      </c>
      <c r="H136" s="554">
        <f>+J95*G136+E136</f>
        <v>0</v>
      </c>
      <c r="I136" s="555">
        <f>+J96*G136+E136</f>
        <v>0</v>
      </c>
      <c r="J136" s="552">
        <f t="shared" si="7"/>
        <v>0</v>
      </c>
      <c r="K136" s="552"/>
      <c r="L136" s="572"/>
      <c r="M136" s="552">
        <f t="shared" si="1"/>
        <v>0</v>
      </c>
      <c r="N136" s="572"/>
      <c r="O136" s="552">
        <f t="shared" si="2"/>
        <v>0</v>
      </c>
      <c r="P136" s="552">
        <f t="shared" si="3"/>
        <v>0</v>
      </c>
    </row>
    <row r="137" spans="3:16">
      <c r="C137" s="548" t="str">
        <f>IF(D94="","-",+C136+1)</f>
        <v>-</v>
      </c>
      <c r="D137" s="506">
        <f t="shared" si="4"/>
        <v>0</v>
      </c>
      <c r="E137" s="549">
        <f t="shared" si="6"/>
        <v>0</v>
      </c>
      <c r="F137" s="549">
        <f t="shared" si="0"/>
        <v>0</v>
      </c>
      <c r="G137" s="506">
        <f t="shared" si="5"/>
        <v>0</v>
      </c>
      <c r="H137" s="554">
        <f>+J95*G137+E137</f>
        <v>0</v>
      </c>
      <c r="I137" s="555">
        <f>+J96*G137+E137</f>
        <v>0</v>
      </c>
      <c r="J137" s="552">
        <f t="shared" si="7"/>
        <v>0</v>
      </c>
      <c r="K137" s="552"/>
      <c r="L137" s="572"/>
      <c r="M137" s="552">
        <f t="shared" si="1"/>
        <v>0</v>
      </c>
      <c r="N137" s="572"/>
      <c r="O137" s="552">
        <f t="shared" si="2"/>
        <v>0</v>
      </c>
      <c r="P137" s="552">
        <f t="shared" si="3"/>
        <v>0</v>
      </c>
    </row>
    <row r="138" spans="3:16">
      <c r="C138" s="548" t="str">
        <f>IF(D94="","-",+C137+1)</f>
        <v>-</v>
      </c>
      <c r="D138" s="506">
        <f t="shared" si="4"/>
        <v>0</v>
      </c>
      <c r="E138" s="549">
        <f t="shared" si="6"/>
        <v>0</v>
      </c>
      <c r="F138" s="549">
        <f t="shared" si="0"/>
        <v>0</v>
      </c>
      <c r="G138" s="506">
        <f t="shared" si="5"/>
        <v>0</v>
      </c>
      <c r="H138" s="554">
        <f>+J95*G138+E138</f>
        <v>0</v>
      </c>
      <c r="I138" s="555">
        <f>+J96*G138+E138</f>
        <v>0</v>
      </c>
      <c r="J138" s="552">
        <f t="shared" si="7"/>
        <v>0</v>
      </c>
      <c r="K138" s="552"/>
      <c r="L138" s="572"/>
      <c r="M138" s="552">
        <f t="shared" si="1"/>
        <v>0</v>
      </c>
      <c r="N138" s="572"/>
      <c r="O138" s="552">
        <f t="shared" si="2"/>
        <v>0</v>
      </c>
      <c r="P138" s="552">
        <f t="shared" si="3"/>
        <v>0</v>
      </c>
    </row>
    <row r="139" spans="3:16">
      <c r="C139" s="548" t="str">
        <f>IF(D94="","-",+C138+1)</f>
        <v>-</v>
      </c>
      <c r="D139" s="506">
        <f t="shared" si="4"/>
        <v>0</v>
      </c>
      <c r="E139" s="549">
        <f t="shared" si="6"/>
        <v>0</v>
      </c>
      <c r="F139" s="549">
        <f t="shared" si="0"/>
        <v>0</v>
      </c>
      <c r="G139" s="506">
        <f t="shared" si="5"/>
        <v>0</v>
      </c>
      <c r="H139" s="554">
        <f>+J95*G139+E139</f>
        <v>0</v>
      </c>
      <c r="I139" s="555">
        <f>+J96*G139+E139</f>
        <v>0</v>
      </c>
      <c r="J139" s="552">
        <f t="shared" si="7"/>
        <v>0</v>
      </c>
      <c r="K139" s="552"/>
      <c r="L139" s="572"/>
      <c r="M139" s="552">
        <f t="shared" si="1"/>
        <v>0</v>
      </c>
      <c r="N139" s="572"/>
      <c r="O139" s="552">
        <f t="shared" si="2"/>
        <v>0</v>
      </c>
      <c r="P139" s="552">
        <f t="shared" si="3"/>
        <v>0</v>
      </c>
    </row>
    <row r="140" spans="3:16">
      <c r="C140" s="548" t="str">
        <f>IF(D94="","-",+C139+1)</f>
        <v>-</v>
      </c>
      <c r="D140" s="506">
        <f t="shared" si="4"/>
        <v>0</v>
      </c>
      <c r="E140" s="549">
        <f t="shared" si="6"/>
        <v>0</v>
      </c>
      <c r="F140" s="549">
        <f t="shared" si="0"/>
        <v>0</v>
      </c>
      <c r="G140" s="506">
        <f t="shared" si="5"/>
        <v>0</v>
      </c>
      <c r="H140" s="554">
        <f>+J95*G140+E140</f>
        <v>0</v>
      </c>
      <c r="I140" s="555">
        <f>+J96*G140+E140</f>
        <v>0</v>
      </c>
      <c r="J140" s="552">
        <f t="shared" si="7"/>
        <v>0</v>
      </c>
      <c r="K140" s="552"/>
      <c r="L140" s="572"/>
      <c r="M140" s="552">
        <f t="shared" si="1"/>
        <v>0</v>
      </c>
      <c r="N140" s="572"/>
      <c r="O140" s="552">
        <f t="shared" si="2"/>
        <v>0</v>
      </c>
      <c r="P140" s="552">
        <f t="shared" si="3"/>
        <v>0</v>
      </c>
    </row>
    <row r="141" spans="3:16">
      <c r="C141" s="548" t="str">
        <f>IF(D94="","-",+C140+1)</f>
        <v>-</v>
      </c>
      <c r="D141" s="506">
        <f t="shared" si="4"/>
        <v>0</v>
      </c>
      <c r="E141" s="549">
        <f t="shared" si="6"/>
        <v>0</v>
      </c>
      <c r="F141" s="549">
        <f t="shared" si="0"/>
        <v>0</v>
      </c>
      <c r="G141" s="506">
        <f t="shared" si="5"/>
        <v>0</v>
      </c>
      <c r="H141" s="554">
        <f>+J95*G141+E141</f>
        <v>0</v>
      </c>
      <c r="I141" s="555">
        <f>+J96*G141+E141</f>
        <v>0</v>
      </c>
      <c r="J141" s="552">
        <f t="shared" si="7"/>
        <v>0</v>
      </c>
      <c r="K141" s="552"/>
      <c r="L141" s="572"/>
      <c r="M141" s="552">
        <f t="shared" si="1"/>
        <v>0</v>
      </c>
      <c r="N141" s="572"/>
      <c r="O141" s="552">
        <f t="shared" si="2"/>
        <v>0</v>
      </c>
      <c r="P141" s="552">
        <f t="shared" si="3"/>
        <v>0</v>
      </c>
    </row>
    <row r="142" spans="3:16">
      <c r="C142" s="548" t="str">
        <f>IF(D94="","-",+C141+1)</f>
        <v>-</v>
      </c>
      <c r="D142" s="506">
        <f t="shared" si="4"/>
        <v>0</v>
      </c>
      <c r="E142" s="549">
        <f t="shared" si="6"/>
        <v>0</v>
      </c>
      <c r="F142" s="549">
        <f t="shared" si="0"/>
        <v>0</v>
      </c>
      <c r="G142" s="506">
        <f t="shared" si="5"/>
        <v>0</v>
      </c>
      <c r="H142" s="554">
        <f>+J95*G142+E142</f>
        <v>0</v>
      </c>
      <c r="I142" s="555">
        <f>+J96*G142+E142</f>
        <v>0</v>
      </c>
      <c r="J142" s="552">
        <f t="shared" si="7"/>
        <v>0</v>
      </c>
      <c r="K142" s="552"/>
      <c r="L142" s="572"/>
      <c r="M142" s="552">
        <f t="shared" si="1"/>
        <v>0</v>
      </c>
      <c r="N142" s="572"/>
      <c r="O142" s="552">
        <f t="shared" si="2"/>
        <v>0</v>
      </c>
      <c r="P142" s="552">
        <f t="shared" si="3"/>
        <v>0</v>
      </c>
    </row>
    <row r="143" spans="3:16">
      <c r="C143" s="548" t="str">
        <f>IF(D94="","-",+C142+1)</f>
        <v>-</v>
      </c>
      <c r="D143" s="506">
        <f t="shared" si="4"/>
        <v>0</v>
      </c>
      <c r="E143" s="549">
        <f t="shared" si="6"/>
        <v>0</v>
      </c>
      <c r="F143" s="549">
        <f t="shared" si="0"/>
        <v>0</v>
      </c>
      <c r="G143" s="506">
        <f t="shared" si="5"/>
        <v>0</v>
      </c>
      <c r="H143" s="554">
        <f>+J95*G143+E143</f>
        <v>0</v>
      </c>
      <c r="I143" s="555">
        <f>+J96*G143+E143</f>
        <v>0</v>
      </c>
      <c r="J143" s="552">
        <f t="shared" si="7"/>
        <v>0</v>
      </c>
      <c r="K143" s="552"/>
      <c r="L143" s="572"/>
      <c r="M143" s="552">
        <f t="shared" si="1"/>
        <v>0</v>
      </c>
      <c r="N143" s="572"/>
      <c r="O143" s="552">
        <f t="shared" si="2"/>
        <v>0</v>
      </c>
      <c r="P143" s="552">
        <f t="shared" si="3"/>
        <v>0</v>
      </c>
    </row>
    <row r="144" spans="3:16">
      <c r="C144" s="548" t="str">
        <f>IF(D94="","-",+C143+1)</f>
        <v>-</v>
      </c>
      <c r="D144" s="506">
        <f t="shared" si="4"/>
        <v>0</v>
      </c>
      <c r="E144" s="549">
        <f t="shared" si="6"/>
        <v>0</v>
      </c>
      <c r="F144" s="549">
        <f t="shared" si="0"/>
        <v>0</v>
      </c>
      <c r="G144" s="506">
        <f t="shared" si="5"/>
        <v>0</v>
      </c>
      <c r="H144" s="554">
        <f>+J95*G144+E144</f>
        <v>0</v>
      </c>
      <c r="I144" s="555">
        <f>+J96*G144+E144</f>
        <v>0</v>
      </c>
      <c r="J144" s="552">
        <f t="shared" si="7"/>
        <v>0</v>
      </c>
      <c r="K144" s="552"/>
      <c r="L144" s="572"/>
      <c r="M144" s="552">
        <f t="shared" si="1"/>
        <v>0</v>
      </c>
      <c r="N144" s="572"/>
      <c r="O144" s="552">
        <f t="shared" si="2"/>
        <v>0</v>
      </c>
      <c r="P144" s="552">
        <f t="shared" si="3"/>
        <v>0</v>
      </c>
    </row>
    <row r="145" spans="3:16">
      <c r="C145" s="548" t="str">
        <f>IF(D94="","-",+C144+1)</f>
        <v>-</v>
      </c>
      <c r="D145" s="506">
        <f t="shared" si="4"/>
        <v>0</v>
      </c>
      <c r="E145" s="549">
        <f t="shared" si="6"/>
        <v>0</v>
      </c>
      <c r="F145" s="549">
        <f t="shared" si="0"/>
        <v>0</v>
      </c>
      <c r="G145" s="506">
        <f t="shared" si="5"/>
        <v>0</v>
      </c>
      <c r="H145" s="554">
        <f>+J95*G145+E145</f>
        <v>0</v>
      </c>
      <c r="I145" s="555">
        <f>+J96*G145+E145</f>
        <v>0</v>
      </c>
      <c r="J145" s="552">
        <f t="shared" si="7"/>
        <v>0</v>
      </c>
      <c r="K145" s="552"/>
      <c r="L145" s="572"/>
      <c r="M145" s="552">
        <f t="shared" si="1"/>
        <v>0</v>
      </c>
      <c r="N145" s="572"/>
      <c r="O145" s="552">
        <f t="shared" si="2"/>
        <v>0</v>
      </c>
      <c r="P145" s="552">
        <f t="shared" si="3"/>
        <v>0</v>
      </c>
    </row>
    <row r="146" spans="3:16">
      <c r="C146" s="548" t="str">
        <f>IF(D94="","-",+C145+1)</f>
        <v>-</v>
      </c>
      <c r="D146" s="506">
        <f t="shared" si="4"/>
        <v>0</v>
      </c>
      <c r="E146" s="549">
        <f t="shared" si="6"/>
        <v>0</v>
      </c>
      <c r="F146" s="549">
        <f t="shared" si="0"/>
        <v>0</v>
      </c>
      <c r="G146" s="506">
        <f t="shared" si="5"/>
        <v>0</v>
      </c>
      <c r="H146" s="554">
        <f>+J95*G146+E146</f>
        <v>0</v>
      </c>
      <c r="I146" s="555">
        <f>+J96*G146+E146</f>
        <v>0</v>
      </c>
      <c r="J146" s="552">
        <f t="shared" si="7"/>
        <v>0</v>
      </c>
      <c r="K146" s="552"/>
      <c r="L146" s="572"/>
      <c r="M146" s="552">
        <f t="shared" si="1"/>
        <v>0</v>
      </c>
      <c r="N146" s="572"/>
      <c r="O146" s="552">
        <f t="shared" si="2"/>
        <v>0</v>
      </c>
      <c r="P146" s="552">
        <f t="shared" si="3"/>
        <v>0</v>
      </c>
    </row>
    <row r="147" spans="3:16">
      <c r="C147" s="548" t="str">
        <f>IF(D94="","-",+C146+1)</f>
        <v>-</v>
      </c>
      <c r="D147" s="506">
        <f t="shared" si="4"/>
        <v>0</v>
      </c>
      <c r="E147" s="549">
        <f t="shared" si="6"/>
        <v>0</v>
      </c>
      <c r="F147" s="549">
        <f t="shared" si="0"/>
        <v>0</v>
      </c>
      <c r="G147" s="506">
        <f t="shared" si="5"/>
        <v>0</v>
      </c>
      <c r="H147" s="554">
        <f>+J95*G147+E147</f>
        <v>0</v>
      </c>
      <c r="I147" s="555">
        <f>+J96*G147+E147</f>
        <v>0</v>
      </c>
      <c r="J147" s="552">
        <f t="shared" si="7"/>
        <v>0</v>
      </c>
      <c r="K147" s="552"/>
      <c r="L147" s="572"/>
      <c r="M147" s="552">
        <f t="shared" si="1"/>
        <v>0</v>
      </c>
      <c r="N147" s="572"/>
      <c r="O147" s="552">
        <f t="shared" si="2"/>
        <v>0</v>
      </c>
      <c r="P147" s="552">
        <f t="shared" si="3"/>
        <v>0</v>
      </c>
    </row>
    <row r="148" spans="3:16">
      <c r="C148" s="548" t="str">
        <f>IF(D94="","-",+C147+1)</f>
        <v>-</v>
      </c>
      <c r="D148" s="506">
        <f t="shared" si="4"/>
        <v>0</v>
      </c>
      <c r="E148" s="549">
        <f t="shared" si="6"/>
        <v>0</v>
      </c>
      <c r="F148" s="549">
        <f t="shared" si="0"/>
        <v>0</v>
      </c>
      <c r="G148" s="506">
        <f t="shared" si="5"/>
        <v>0</v>
      </c>
      <c r="H148" s="554">
        <f>+J95*G148+E148</f>
        <v>0</v>
      </c>
      <c r="I148" s="555">
        <f>+J96*G148+E148</f>
        <v>0</v>
      </c>
      <c r="J148" s="552">
        <f t="shared" si="7"/>
        <v>0</v>
      </c>
      <c r="K148" s="552"/>
      <c r="L148" s="572"/>
      <c r="M148" s="552">
        <f t="shared" si="1"/>
        <v>0</v>
      </c>
      <c r="N148" s="572"/>
      <c r="O148" s="552">
        <f t="shared" si="2"/>
        <v>0</v>
      </c>
      <c r="P148" s="552">
        <f t="shared" si="3"/>
        <v>0</v>
      </c>
    </row>
    <row r="149" spans="3:16">
      <c r="C149" s="548" t="str">
        <f>IF(D94="","-",+C148+1)</f>
        <v>-</v>
      </c>
      <c r="D149" s="506">
        <f t="shared" si="4"/>
        <v>0</v>
      </c>
      <c r="E149" s="549">
        <f t="shared" si="6"/>
        <v>0</v>
      </c>
      <c r="F149" s="549">
        <f t="shared" si="0"/>
        <v>0</v>
      </c>
      <c r="G149" s="506">
        <f t="shared" si="5"/>
        <v>0</v>
      </c>
      <c r="H149" s="554">
        <f>+J95*G149+E149</f>
        <v>0</v>
      </c>
      <c r="I149" s="555">
        <f>+J96*G149+E149</f>
        <v>0</v>
      </c>
      <c r="J149" s="552">
        <f t="shared" si="7"/>
        <v>0</v>
      </c>
      <c r="K149" s="552"/>
      <c r="L149" s="572"/>
      <c r="M149" s="552">
        <f t="shared" si="1"/>
        <v>0</v>
      </c>
      <c r="N149" s="572"/>
      <c r="O149" s="552">
        <f t="shared" si="2"/>
        <v>0</v>
      </c>
      <c r="P149" s="552">
        <f t="shared" si="3"/>
        <v>0</v>
      </c>
    </row>
    <row r="150" spans="3:16">
      <c r="C150" s="548" t="str">
        <f>IF(D94="","-",+C149+1)</f>
        <v>-</v>
      </c>
      <c r="D150" s="506">
        <f t="shared" si="4"/>
        <v>0</v>
      </c>
      <c r="E150" s="549">
        <f t="shared" si="6"/>
        <v>0</v>
      </c>
      <c r="F150" s="549">
        <f t="shared" si="0"/>
        <v>0</v>
      </c>
      <c r="G150" s="506">
        <f t="shared" si="5"/>
        <v>0</v>
      </c>
      <c r="H150" s="554">
        <f>+J95*G150+E150</f>
        <v>0</v>
      </c>
      <c r="I150" s="555">
        <f>+J96*G150+E150</f>
        <v>0</v>
      </c>
      <c r="J150" s="552">
        <f t="shared" si="7"/>
        <v>0</v>
      </c>
      <c r="K150" s="552"/>
      <c r="L150" s="572"/>
      <c r="M150" s="552">
        <f t="shared" si="1"/>
        <v>0</v>
      </c>
      <c r="N150" s="572"/>
      <c r="O150" s="552">
        <f t="shared" si="2"/>
        <v>0</v>
      </c>
      <c r="P150" s="552">
        <f t="shared" si="3"/>
        <v>0</v>
      </c>
    </row>
    <row r="151" spans="3:16">
      <c r="C151" s="548" t="str">
        <f>IF(D94="","-",+C150+1)</f>
        <v>-</v>
      </c>
      <c r="D151" s="506">
        <f t="shared" si="4"/>
        <v>0</v>
      </c>
      <c r="E151" s="549">
        <f t="shared" si="6"/>
        <v>0</v>
      </c>
      <c r="F151" s="549">
        <f t="shared" si="0"/>
        <v>0</v>
      </c>
      <c r="G151" s="506">
        <f t="shared" si="5"/>
        <v>0</v>
      </c>
      <c r="H151" s="554">
        <f>+J95*G151+E151</f>
        <v>0</v>
      </c>
      <c r="I151" s="555">
        <f>+J96*G151+E151</f>
        <v>0</v>
      </c>
      <c r="J151" s="552">
        <f t="shared" si="7"/>
        <v>0</v>
      </c>
      <c r="K151" s="552"/>
      <c r="L151" s="572"/>
      <c r="M151" s="552">
        <f t="shared" si="1"/>
        <v>0</v>
      </c>
      <c r="N151" s="572"/>
      <c r="O151" s="552">
        <f t="shared" si="2"/>
        <v>0</v>
      </c>
      <c r="P151" s="552">
        <f t="shared" si="3"/>
        <v>0</v>
      </c>
    </row>
    <row r="152" spans="3:16">
      <c r="C152" s="548" t="str">
        <f>IF(D94="","-",+C151+1)</f>
        <v>-</v>
      </c>
      <c r="D152" s="506">
        <f t="shared" si="4"/>
        <v>0</v>
      </c>
      <c r="E152" s="549">
        <f t="shared" si="6"/>
        <v>0</v>
      </c>
      <c r="F152" s="549">
        <f t="shared" si="0"/>
        <v>0</v>
      </c>
      <c r="G152" s="506">
        <f t="shared" si="5"/>
        <v>0</v>
      </c>
      <c r="H152" s="554">
        <f>+J95*G152+E152</f>
        <v>0</v>
      </c>
      <c r="I152" s="555">
        <f>+J96*G152+E152</f>
        <v>0</v>
      </c>
      <c r="J152" s="552">
        <f t="shared" si="7"/>
        <v>0</v>
      </c>
      <c r="K152" s="552"/>
      <c r="L152" s="572"/>
      <c r="M152" s="552">
        <f t="shared" si="1"/>
        <v>0</v>
      </c>
      <c r="N152" s="572"/>
      <c r="O152" s="552">
        <f t="shared" si="2"/>
        <v>0</v>
      </c>
      <c r="P152" s="552">
        <f t="shared" si="3"/>
        <v>0</v>
      </c>
    </row>
    <row r="153" spans="3:16">
      <c r="C153" s="548" t="str">
        <f>IF(D94="","-",+C152+1)</f>
        <v>-</v>
      </c>
      <c r="D153" s="506">
        <f t="shared" si="4"/>
        <v>0</v>
      </c>
      <c r="E153" s="549">
        <f t="shared" si="6"/>
        <v>0</v>
      </c>
      <c r="F153" s="549">
        <f t="shared" si="0"/>
        <v>0</v>
      </c>
      <c r="G153" s="506">
        <f t="shared" si="5"/>
        <v>0</v>
      </c>
      <c r="H153" s="554">
        <f>+J95*G153+E153</f>
        <v>0</v>
      </c>
      <c r="I153" s="555">
        <f>+J96*G153+E153</f>
        <v>0</v>
      </c>
      <c r="J153" s="552">
        <f t="shared" si="7"/>
        <v>0</v>
      </c>
      <c r="K153" s="552"/>
      <c r="L153" s="572"/>
      <c r="M153" s="552">
        <f t="shared" si="1"/>
        <v>0</v>
      </c>
      <c r="N153" s="572"/>
      <c r="O153" s="552">
        <f t="shared" si="2"/>
        <v>0</v>
      </c>
      <c r="P153" s="552">
        <f t="shared" si="3"/>
        <v>0</v>
      </c>
    </row>
    <row r="154" spans="3:16">
      <c r="C154" s="548" t="str">
        <f>IF(D94="","-",+C153+1)</f>
        <v>-</v>
      </c>
      <c r="D154" s="506">
        <f>F153</f>
        <v>0</v>
      </c>
      <c r="E154" s="549">
        <f t="shared" si="6"/>
        <v>0</v>
      </c>
      <c r="F154" s="549">
        <f t="shared" si="0"/>
        <v>0</v>
      </c>
      <c r="G154" s="506">
        <f t="shared" si="5"/>
        <v>0</v>
      </c>
      <c r="H154" s="554">
        <f>+J95*G154+E154</f>
        <v>0</v>
      </c>
      <c r="I154" s="555">
        <f>+J96*G154+E154</f>
        <v>0</v>
      </c>
      <c r="J154" s="552">
        <f t="shared" si="7"/>
        <v>0</v>
      </c>
      <c r="K154" s="552"/>
      <c r="L154" s="572"/>
      <c r="M154" s="552">
        <f t="shared" si="1"/>
        <v>0</v>
      </c>
      <c r="N154" s="572"/>
      <c r="O154" s="552">
        <f t="shared" si="2"/>
        <v>0</v>
      </c>
      <c r="P154" s="552">
        <f t="shared" si="3"/>
        <v>0</v>
      </c>
    </row>
    <row r="155" spans="3:16">
      <c r="C155" s="548" t="str">
        <f>IF(D94="","-",+C154+1)</f>
        <v>-</v>
      </c>
      <c r="D155" s="506">
        <f t="shared" si="4"/>
        <v>0</v>
      </c>
      <c r="E155" s="549">
        <f t="shared" si="6"/>
        <v>0</v>
      </c>
      <c r="F155" s="549">
        <f t="shared" si="0"/>
        <v>0</v>
      </c>
      <c r="G155" s="506">
        <f t="shared" si="5"/>
        <v>0</v>
      </c>
      <c r="H155" s="554">
        <f>+J95*G155+E155</f>
        <v>0</v>
      </c>
      <c r="I155" s="555">
        <f>+J96*G155+E155</f>
        <v>0</v>
      </c>
      <c r="J155" s="552">
        <f t="shared" si="7"/>
        <v>0</v>
      </c>
      <c r="K155" s="552"/>
      <c r="L155" s="572"/>
      <c r="M155" s="552">
        <f t="shared" si="1"/>
        <v>0</v>
      </c>
      <c r="N155" s="572"/>
      <c r="O155" s="552">
        <f t="shared" si="2"/>
        <v>0</v>
      </c>
      <c r="P155" s="552">
        <f t="shared" si="3"/>
        <v>0</v>
      </c>
    </row>
    <row r="156" spans="3:16">
      <c r="C156" s="548" t="str">
        <f>IF(D94="","-",+C155+1)</f>
        <v>-</v>
      </c>
      <c r="D156" s="506">
        <f t="shared" si="4"/>
        <v>0</v>
      </c>
      <c r="E156" s="549">
        <f t="shared" si="6"/>
        <v>0</v>
      </c>
      <c r="F156" s="549">
        <f t="shared" si="0"/>
        <v>0</v>
      </c>
      <c r="G156" s="506">
        <f t="shared" si="5"/>
        <v>0</v>
      </c>
      <c r="H156" s="554">
        <f>+J95*G156+E156</f>
        <v>0</v>
      </c>
      <c r="I156" s="555">
        <f>+J96*G156+E156</f>
        <v>0</v>
      </c>
      <c r="J156" s="552">
        <f t="shared" si="7"/>
        <v>0</v>
      </c>
      <c r="K156" s="552"/>
      <c r="L156" s="572"/>
      <c r="M156" s="552">
        <f t="shared" si="1"/>
        <v>0</v>
      </c>
      <c r="N156" s="572"/>
      <c r="O156" s="552">
        <f t="shared" si="2"/>
        <v>0</v>
      </c>
      <c r="P156" s="552">
        <f t="shared" si="3"/>
        <v>0</v>
      </c>
    </row>
    <row r="157" spans="3:16">
      <c r="C157" s="548" t="str">
        <f>IF(D94="","-",+C156+1)</f>
        <v>-</v>
      </c>
      <c r="D157" s="506">
        <f t="shared" si="4"/>
        <v>0</v>
      </c>
      <c r="E157" s="549">
        <f t="shared" si="6"/>
        <v>0</v>
      </c>
      <c r="F157" s="549">
        <f t="shared" si="0"/>
        <v>0</v>
      </c>
      <c r="G157" s="506">
        <f t="shared" si="5"/>
        <v>0</v>
      </c>
      <c r="H157" s="554">
        <f>+J95*G157+E157</f>
        <v>0</v>
      </c>
      <c r="I157" s="555">
        <f>+J96*G157+E157</f>
        <v>0</v>
      </c>
      <c r="J157" s="552">
        <f t="shared" si="7"/>
        <v>0</v>
      </c>
      <c r="K157" s="552"/>
      <c r="L157" s="572"/>
      <c r="M157" s="552">
        <f t="shared" si="1"/>
        <v>0</v>
      </c>
      <c r="N157" s="572"/>
      <c r="O157" s="552">
        <f t="shared" si="2"/>
        <v>0</v>
      </c>
      <c r="P157" s="552">
        <f t="shared" si="3"/>
        <v>0</v>
      </c>
    </row>
    <row r="158" spans="3:16">
      <c r="C158" s="548" t="str">
        <f>IF(D94="","-",+C157+1)</f>
        <v>-</v>
      </c>
      <c r="D158" s="506">
        <f t="shared" si="4"/>
        <v>0</v>
      </c>
      <c r="E158" s="549">
        <f t="shared" si="6"/>
        <v>0</v>
      </c>
      <c r="F158" s="549">
        <f t="shared" si="0"/>
        <v>0</v>
      </c>
      <c r="G158" s="506">
        <f t="shared" si="5"/>
        <v>0</v>
      </c>
      <c r="H158" s="554">
        <f>+J95*G158+E158</f>
        <v>0</v>
      </c>
      <c r="I158" s="555">
        <f>+J96*G158+E158</f>
        <v>0</v>
      </c>
      <c r="J158" s="552">
        <f t="shared" si="7"/>
        <v>0</v>
      </c>
      <c r="K158" s="552"/>
      <c r="L158" s="572"/>
      <c r="M158" s="552">
        <f t="shared" si="1"/>
        <v>0</v>
      </c>
      <c r="N158" s="572"/>
      <c r="O158" s="552">
        <f t="shared" si="2"/>
        <v>0</v>
      </c>
      <c r="P158" s="552">
        <f t="shared" si="3"/>
        <v>0</v>
      </c>
    </row>
    <row r="159" spans="3:16" ht="13.5" thickBot="1">
      <c r="C159" s="558" t="str">
        <f>IF(D94="","-",+C158+1)</f>
        <v>-</v>
      </c>
      <c r="D159" s="559">
        <f t="shared" si="4"/>
        <v>0</v>
      </c>
      <c r="E159" s="560">
        <f t="shared" si="6"/>
        <v>0</v>
      </c>
      <c r="F159" s="560">
        <f t="shared" si="0"/>
        <v>0</v>
      </c>
      <c r="G159" s="559">
        <f t="shared" si="5"/>
        <v>0</v>
      </c>
      <c r="H159" s="561">
        <f>+J95*G159+E159</f>
        <v>0</v>
      </c>
      <c r="I159" s="561">
        <f>+J96*G159+E159</f>
        <v>0</v>
      </c>
      <c r="J159" s="562">
        <f t="shared" si="7"/>
        <v>0</v>
      </c>
      <c r="K159" s="552"/>
      <c r="L159" s="573"/>
      <c r="M159" s="562">
        <f t="shared" si="1"/>
        <v>0</v>
      </c>
      <c r="N159" s="573"/>
      <c r="O159" s="562">
        <f t="shared" si="2"/>
        <v>0</v>
      </c>
      <c r="P159" s="562">
        <f t="shared" si="3"/>
        <v>0</v>
      </c>
    </row>
    <row r="160" spans="3:16">
      <c r="C160" s="506" t="s">
        <v>83</v>
      </c>
      <c r="D160" s="503"/>
      <c r="E160" s="503">
        <f>SUM(E100:E159)</f>
        <v>0</v>
      </c>
      <c r="F160" s="503"/>
      <c r="G160" s="503"/>
      <c r="H160" s="503">
        <f>SUM(H100:H159)</f>
        <v>0</v>
      </c>
      <c r="I160" s="503">
        <f>SUM(I100:I159)</f>
        <v>0</v>
      </c>
      <c r="J160" s="503">
        <f>SUM(J100:J159)</f>
        <v>0</v>
      </c>
      <c r="K160" s="503"/>
      <c r="L160" s="503"/>
      <c r="M160" s="503"/>
      <c r="N160" s="503"/>
      <c r="O160" s="503"/>
    </row>
    <row r="161" spans="3:15">
      <c r="D161" s="47"/>
      <c r="E161" s="3"/>
      <c r="F161" s="3"/>
      <c r="G161" s="3"/>
      <c r="H161" s="3"/>
      <c r="I161" s="490"/>
      <c r="J161" s="490"/>
      <c r="K161" s="503"/>
      <c r="L161" s="490"/>
      <c r="M161" s="490"/>
      <c r="N161" s="490"/>
      <c r="O161" s="490"/>
    </row>
    <row r="162" spans="3:15">
      <c r="C162" s="3" t="s">
        <v>13</v>
      </c>
      <c r="D162" s="47"/>
      <c r="E162" s="3"/>
      <c r="F162" s="3"/>
      <c r="G162" s="3"/>
      <c r="H162" s="3"/>
      <c r="I162" s="490"/>
      <c r="J162" s="490"/>
      <c r="K162" s="503"/>
      <c r="L162" s="490"/>
      <c r="M162" s="490"/>
      <c r="N162" s="490"/>
      <c r="O162" s="490"/>
    </row>
    <row r="163" spans="3:15">
      <c r="C163" s="3"/>
      <c r="D163" s="47"/>
      <c r="E163" s="3"/>
      <c r="F163" s="3"/>
      <c r="G163" s="3"/>
      <c r="H163" s="3"/>
      <c r="I163" s="490"/>
      <c r="J163" s="490"/>
      <c r="K163" s="503"/>
      <c r="L163" s="490"/>
      <c r="M163" s="490"/>
      <c r="N163" s="490"/>
      <c r="O163" s="490"/>
    </row>
    <row r="164" spans="3:15">
      <c r="C164" s="518" t="s">
        <v>14</v>
      </c>
      <c r="D164" s="506"/>
      <c r="E164" s="506"/>
      <c r="F164" s="506"/>
      <c r="G164" s="506"/>
      <c r="H164" s="503"/>
      <c r="I164" s="503"/>
      <c r="J164" s="564"/>
      <c r="K164" s="564"/>
      <c r="L164" s="564"/>
      <c r="M164" s="564"/>
      <c r="N164" s="564"/>
      <c r="O164" s="564"/>
    </row>
    <row r="165" spans="3:15">
      <c r="C165" s="507" t="s">
        <v>263</v>
      </c>
      <c r="D165" s="506"/>
      <c r="E165" s="506"/>
      <c r="F165" s="506"/>
      <c r="G165" s="506"/>
      <c r="H165" s="503"/>
      <c r="I165" s="503"/>
      <c r="J165" s="564"/>
      <c r="K165" s="564"/>
      <c r="L165" s="564"/>
      <c r="M165" s="564"/>
      <c r="N165" s="564"/>
      <c r="O165" s="564"/>
    </row>
    <row r="166" spans="3:15">
      <c r="C166" s="507" t="s">
        <v>84</v>
      </c>
      <c r="D166" s="506"/>
      <c r="E166" s="506"/>
      <c r="F166" s="506"/>
      <c r="G166" s="506"/>
      <c r="H166" s="503"/>
      <c r="I166" s="503"/>
      <c r="J166" s="564"/>
      <c r="K166" s="564"/>
      <c r="L166" s="564"/>
      <c r="M166" s="564"/>
      <c r="N166" s="564"/>
      <c r="O166" s="564"/>
    </row>
  </sheetData>
  <mergeCells count="11">
    <mergeCell ref="A3:P3"/>
    <mergeCell ref="C11:I12"/>
    <mergeCell ref="A4:P4"/>
    <mergeCell ref="A5:P5"/>
    <mergeCell ref="A6:P6"/>
    <mergeCell ref="L93:O93"/>
    <mergeCell ref="D89:I89"/>
    <mergeCell ref="C51:D52"/>
    <mergeCell ref="C60:D61"/>
    <mergeCell ref="C71:D72"/>
    <mergeCell ref="J77:P80"/>
  </mergeCells>
  <phoneticPr fontId="0" type="noConversion"/>
  <conditionalFormatting sqref="C100:C159">
    <cfRule type="cellIs" dxfId="31" priority="11" stopIfTrue="1" operator="equal">
      <formula>$J$92</formula>
    </cfRule>
  </conditionalFormatting>
  <pageMargins left="0.26" right="1.28" top="0.72" bottom="0.72" header="0.75" footer="0.5"/>
  <pageSetup scale="41" fitToHeight="2" orientation="landscape" r:id="rId1"/>
  <headerFooter alignWithMargins="0">
    <oddHeader>&amp;R&amp;"Arial,Bold"Formula Rate 
&amp;A
Page &amp;P of &amp;N</oddHeader>
  </headerFooter>
  <rowBreaks count="1" manualBreakCount="1">
    <brk id="80" max="1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Q2059"/>
  <sheetViews>
    <sheetView view="pageBreakPreview" zoomScale="85" zoomScaleNormal="100" zoomScaleSheetLayoutView="85" workbookViewId="0">
      <selection activeCell="D1984" sqref="D1984"/>
    </sheetView>
  </sheetViews>
  <sheetFormatPr defaultColWidth="8.85546875" defaultRowHeight="12.75"/>
  <cols>
    <col min="1" max="1" width="4.7109375" customWidth="1"/>
    <col min="2" max="2" width="6.7109375" customWidth="1"/>
    <col min="3" max="3" width="26.42578125" customWidth="1"/>
    <col min="4" max="4" width="17.7109375" style="1" customWidth="1"/>
    <col min="5" max="7" width="17.7109375" customWidth="1"/>
    <col min="8" max="8" width="17.7109375" style="342" customWidth="1"/>
    <col min="9" max="9" width="17.7109375" bestFit="1" customWidth="1"/>
    <col min="10" max="10" width="2.140625" customWidth="1"/>
    <col min="11" max="11" width="22.7109375" customWidth="1"/>
    <col min="12" max="12" width="13" customWidth="1"/>
    <col min="13" max="13" width="25.7109375" customWidth="1"/>
    <col min="14" max="14" width="17.7109375" customWidth="1"/>
    <col min="15" max="15" width="16.7109375" customWidth="1"/>
    <col min="16" max="16" width="2.140625" customWidth="1"/>
  </cols>
  <sheetData>
    <row r="1" spans="1:16" ht="15.75">
      <c r="A1" s="730" t="s">
        <v>406</v>
      </c>
    </row>
    <row r="2" spans="1:16" ht="15.75">
      <c r="A2" s="730" t="s">
        <v>406</v>
      </c>
    </row>
    <row r="3" spans="1:16" ht="15">
      <c r="A3" s="1148" t="str">
        <f>TCOS!$F$5</f>
        <v>AEPTCo subsidiaries in PJM</v>
      </c>
      <c r="B3" s="1148" t="str">
        <f>TCOS!$F$5</f>
        <v>AEPTCo subsidiaries in PJM</v>
      </c>
      <c r="C3" s="1148" t="str">
        <f>TCOS!$F$5</f>
        <v>AEPTCo subsidiaries in PJM</v>
      </c>
      <c r="D3" s="1148" t="str">
        <f>TCOS!$F$5</f>
        <v>AEPTCo subsidiaries in PJM</v>
      </c>
      <c r="E3" s="1148" t="str">
        <f>TCOS!$F$5</f>
        <v>AEPTCo subsidiaries in PJM</v>
      </c>
      <c r="F3" s="1148" t="str">
        <f>TCOS!$F$5</f>
        <v>AEPTCo subsidiaries in PJM</v>
      </c>
      <c r="G3" s="1148" t="str">
        <f>TCOS!$F$5</f>
        <v>AEPTCo subsidiaries in PJM</v>
      </c>
      <c r="H3" s="1148" t="str">
        <f>TCOS!$F$5</f>
        <v>AEPTCo subsidiaries in PJM</v>
      </c>
      <c r="I3" s="1148" t="str">
        <f>TCOS!$F$5</f>
        <v>AEPTCo subsidiaries in PJM</v>
      </c>
      <c r="J3" s="1148" t="str">
        <f>TCOS!$F$5</f>
        <v>AEPTCo subsidiaries in PJM</v>
      </c>
      <c r="K3" s="1148" t="str">
        <f>TCOS!$F$5</f>
        <v>AEPTCo subsidiaries in PJM</v>
      </c>
      <c r="L3" s="1148" t="str">
        <f>TCOS!$F$5</f>
        <v>AEPTCo subsidiaries in PJM</v>
      </c>
      <c r="M3" s="1148" t="str">
        <f>TCOS!$F$5</f>
        <v>AEPTCo subsidiaries in PJM</v>
      </c>
      <c r="N3" s="1148" t="str">
        <f>TCOS!$F$5</f>
        <v>AEPTCo subsidiaries in PJM</v>
      </c>
      <c r="O3" s="1148" t="str">
        <f>TCOS!$F$5</f>
        <v>AEPTCo subsidiaries in PJM</v>
      </c>
    </row>
    <row r="4" spans="1:16" ht="15">
      <c r="A4" s="1149" t="str">
        <f>"Cost of Service Formula Rate Using Actual/Projected FF1 Balances"</f>
        <v>Cost of Service Formula Rate Using Actual/Projected FF1 Balances</v>
      </c>
      <c r="B4" s="1149"/>
      <c r="C4" s="1149"/>
      <c r="D4" s="1149"/>
      <c r="E4" s="1149"/>
      <c r="F4" s="1149"/>
      <c r="G4" s="1149"/>
      <c r="H4" s="1149"/>
      <c r="I4" s="1149"/>
      <c r="J4" s="1149"/>
      <c r="K4" s="1149"/>
      <c r="L4" s="1149"/>
      <c r="M4" s="1149"/>
      <c r="N4" s="1149"/>
      <c r="O4" s="1149"/>
    </row>
    <row r="5" spans="1:16" ht="15">
      <c r="A5" s="1149" t="s">
        <v>256</v>
      </c>
      <c r="B5" s="1149"/>
      <c r="C5" s="1149"/>
      <c r="D5" s="1149"/>
      <c r="E5" s="1149"/>
      <c r="F5" s="1149"/>
      <c r="G5" s="1149"/>
      <c r="H5" s="1149"/>
      <c r="I5" s="1149"/>
      <c r="J5" s="1149"/>
      <c r="K5" s="1149"/>
      <c r="L5" s="1149"/>
      <c r="M5" s="1149"/>
      <c r="N5" s="1149"/>
      <c r="O5" s="1149"/>
    </row>
    <row r="6" spans="1:16" ht="15">
      <c r="A6" s="1159" t="str">
        <f>TCOS!F9</f>
        <v>AEP Ohio Transmission Company</v>
      </c>
      <c r="B6" s="1159"/>
      <c r="C6" s="1159"/>
      <c r="D6" s="1159"/>
      <c r="E6" s="1159"/>
      <c r="F6" s="1159"/>
      <c r="G6" s="1159"/>
      <c r="H6" s="1159"/>
      <c r="I6" s="1159"/>
      <c r="J6" s="1159"/>
      <c r="K6" s="1159"/>
      <c r="L6" s="1159"/>
      <c r="M6" s="1159"/>
      <c r="N6" s="1159"/>
      <c r="O6" s="1159"/>
    </row>
    <row r="8" spans="1:16" ht="20.25">
      <c r="A8" s="447"/>
      <c r="N8" s="398" t="str">
        <f>"Page "&amp;P8&amp;" of "</f>
        <v xml:space="preserve">Page 1 of </v>
      </c>
      <c r="O8" s="448">
        <f>COUNT(P$8:P$56653)</f>
        <v>23</v>
      </c>
      <c r="P8" s="398">
        <v>1</v>
      </c>
    </row>
    <row r="9" spans="1:16" ht="18">
      <c r="C9" s="6"/>
    </row>
    <row r="11" spans="1:16" ht="18">
      <c r="B11" s="449" t="s">
        <v>461</v>
      </c>
      <c r="C11" s="1199" t="str">
        <f>"Calculate Return and Income Taxes with "&amp;F17&amp;" basis point ROE increase for Projects Qualified for Regional Billing."</f>
        <v>Calculate Return and Income Taxes with 0 basis point ROE increase for Projects Qualified for Regional Billing.</v>
      </c>
      <c r="D11" s="1197"/>
      <c r="E11" s="1197"/>
      <c r="F11" s="1197"/>
      <c r="G11" s="1197"/>
      <c r="H11" s="1197"/>
    </row>
    <row r="12" spans="1:16" ht="18.75" customHeight="1">
      <c r="C12" s="1197"/>
      <c r="D12" s="1197"/>
      <c r="E12" s="1197"/>
      <c r="F12" s="1197"/>
      <c r="G12" s="1197"/>
      <c r="H12" s="1197"/>
    </row>
    <row r="13" spans="1:16" ht="15.75" customHeight="1">
      <c r="C13" s="450"/>
      <c r="D13" s="450"/>
      <c r="E13" s="450"/>
      <c r="F13" s="450"/>
      <c r="G13" s="450"/>
      <c r="H13" s="450"/>
    </row>
    <row r="14" spans="1:16" ht="15.75">
      <c r="C14" s="451" t="str">
        <f>"A.   Determine 'R' with hypothetical "&amp;F17&amp;" basis point increase in ROE for Identified Projects"</f>
        <v>A.   Determine 'R' with hypothetical 0 basis point increase in ROE for Identified Projects</v>
      </c>
    </row>
    <row r="16" spans="1:16">
      <c r="C16" s="452" t="str">
        <f>"   ROE w/o incentives  (TCOS, ln "&amp;TCOS!B251&amp;")"</f>
        <v xml:space="preserve">   ROE w/o incentives  (TCOS, ln 138)</v>
      </c>
      <c r="E16" s="453"/>
      <c r="F16" s="454">
        <f>TCOS!J251</f>
        <v>9.8500000000000004E-2</v>
      </c>
      <c r="G16" s="453"/>
      <c r="H16" s="455"/>
      <c r="I16" s="455"/>
      <c r="J16" s="455"/>
      <c r="K16" s="455"/>
      <c r="L16" s="455"/>
      <c r="M16" s="455"/>
      <c r="N16" s="455"/>
      <c r="O16" s="455"/>
      <c r="P16" s="455"/>
    </row>
    <row r="17" spans="3:16">
      <c r="C17" s="452" t="s">
        <v>43</v>
      </c>
      <c r="E17" s="453"/>
      <c r="F17" s="565">
        <v>0</v>
      </c>
      <c r="G17" s="453"/>
      <c r="H17" s="455"/>
      <c r="I17" s="455"/>
      <c r="J17" s="455"/>
    </row>
    <row r="18" spans="3:16">
      <c r="C18" s="452" t="str">
        <f>"   ROE with additional "&amp;F17&amp;" basis point incentive"</f>
        <v xml:space="preserve">   ROE with additional 0 basis point incentive</v>
      </c>
      <c r="D18" s="453"/>
      <c r="E18" s="453"/>
      <c r="F18" s="456">
        <f>IF((F16+(F17/10000)&gt;0.1274),"ERROR",F16+(F17/10000))</f>
        <v>9.8500000000000004E-2</v>
      </c>
      <c r="G18" s="457"/>
      <c r="H18" s="455"/>
      <c r="I18" s="455"/>
      <c r="J18" s="455"/>
    </row>
    <row r="19" spans="3:16">
      <c r="C19" s="452" t="str">
        <f>"   Determine R  ( cost of long term debt, cost of preferred stock and equity percentage is from the TCOS, lns "&amp;TCOS!B249&amp;" through "&amp;TCOS!B251&amp;")"</f>
        <v xml:space="preserve">   Determine R  ( cost of long term debt, cost of preferred stock and equity percentage is from the TCOS, lns 136 through 138)</v>
      </c>
      <c r="E19" s="453"/>
      <c r="F19" s="458"/>
      <c r="G19" s="453"/>
      <c r="H19" s="455"/>
      <c r="I19" s="455"/>
      <c r="J19" s="455"/>
    </row>
    <row r="20" spans="3:16">
      <c r="C20" s="455"/>
      <c r="D20" s="459" t="s">
        <v>436</v>
      </c>
      <c r="E20" s="459" t="s">
        <v>435</v>
      </c>
      <c r="F20" s="460" t="s">
        <v>44</v>
      </c>
      <c r="G20" s="453"/>
      <c r="H20" s="455"/>
      <c r="I20" s="455"/>
      <c r="J20" s="455"/>
    </row>
    <row r="21" spans="3:16" ht="13.5" thickBot="1">
      <c r="C21" s="461" t="s">
        <v>48</v>
      </c>
      <c r="D21" s="462">
        <f>TCOS!H249</f>
        <v>0.44985008708322277</v>
      </c>
      <c r="E21" s="462">
        <f>TCOS!J249</f>
        <v>4.4748443048860817E-2</v>
      </c>
      <c r="F21" s="463">
        <f>E21*D21</f>
        <v>2.0130091002368674E-2</v>
      </c>
      <c r="G21" s="453"/>
      <c r="H21" s="455"/>
      <c r="I21" s="464"/>
      <c r="J21" s="464"/>
      <c r="K21" s="98"/>
      <c r="L21" s="98"/>
      <c r="M21" s="98"/>
      <c r="N21" s="98"/>
      <c r="O21" s="98"/>
    </row>
    <row r="22" spans="3:16">
      <c r="C22" s="461" t="s">
        <v>49</v>
      </c>
      <c r="D22" s="462">
        <f>TCOS!H250</f>
        <v>0</v>
      </c>
      <c r="E22" s="462">
        <f>TCOS!J250</f>
        <v>0</v>
      </c>
      <c r="F22" s="463">
        <f>E22*D22</f>
        <v>0</v>
      </c>
      <c r="G22" s="465"/>
      <c r="H22" s="465"/>
      <c r="I22" s="466"/>
      <c r="J22" s="466"/>
      <c r="K22" s="1201" t="s">
        <v>231</v>
      </c>
      <c r="L22" s="1202"/>
      <c r="M22" s="1202"/>
      <c r="N22" s="1202"/>
      <c r="O22" s="1203"/>
      <c r="P22" s="466"/>
    </row>
    <row r="23" spans="3:16">
      <c r="C23" s="461" t="s">
        <v>29</v>
      </c>
      <c r="D23" s="462">
        <f>TCOS!H251</f>
        <v>0.55014991291677717</v>
      </c>
      <c r="E23" s="462">
        <f>+F18</f>
        <v>9.8500000000000004E-2</v>
      </c>
      <c r="F23" s="467">
        <f>E23*D23</f>
        <v>5.4189766422302554E-2</v>
      </c>
      <c r="G23" s="465"/>
      <c r="H23" s="465"/>
      <c r="I23" s="466"/>
      <c r="J23" s="466"/>
      <c r="K23" s="1204"/>
      <c r="L23" s="1205"/>
      <c r="M23" s="1205"/>
      <c r="N23" s="1205"/>
      <c r="O23" s="1206"/>
      <c r="P23" s="466"/>
    </row>
    <row r="24" spans="3:16">
      <c r="C24" s="452"/>
      <c r="D24"/>
      <c r="E24" s="468" t="s">
        <v>50</v>
      </c>
      <c r="F24" s="463">
        <f>SUM(F21:F23)</f>
        <v>7.4319857424671232E-2</v>
      </c>
      <c r="G24" s="465"/>
      <c r="H24" s="465"/>
      <c r="I24" s="466"/>
      <c r="J24" s="466"/>
      <c r="K24" s="469"/>
      <c r="L24" s="470"/>
      <c r="M24" s="471" t="s">
        <v>45</v>
      </c>
      <c r="N24" s="471" t="s">
        <v>46</v>
      </c>
      <c r="O24" s="472" t="s">
        <v>47</v>
      </c>
      <c r="P24" s="466"/>
    </row>
    <row r="25" spans="3:16">
      <c r="C25" s="3"/>
      <c r="D25" s="473"/>
      <c r="E25" s="473"/>
      <c r="F25" s="465"/>
      <c r="G25" s="465"/>
      <c r="H25" s="465"/>
      <c r="I25" s="465"/>
      <c r="J25" s="465"/>
      <c r="K25" s="474"/>
      <c r="L25" s="98"/>
      <c r="M25" s="98"/>
      <c r="N25" s="98"/>
      <c r="O25" s="475"/>
      <c r="P25" s="465"/>
    </row>
    <row r="26" spans="3:16" ht="16.5" thickBot="1">
      <c r="C26" s="451" t="str">
        <f>"B.   Determine Return using 'R' with hypothetical "&amp;F17&amp;" basis point ROE increase for Identified Projects."</f>
        <v>B.   Determine Return using 'R' with hypothetical 0 basis point ROE increase for Identified Projects.</v>
      </c>
      <c r="D26" s="473"/>
      <c r="E26" s="473"/>
      <c r="F26" s="465"/>
      <c r="G26" s="465"/>
      <c r="H26" s="453"/>
      <c r="I26" s="465"/>
      <c r="J26" s="465"/>
      <c r="K26" s="476" t="s">
        <v>51</v>
      </c>
      <c r="L26" s="477">
        <f>+TCOS!L4</f>
        <v>2026</v>
      </c>
      <c r="M26" s="685">
        <f>N88+N178+N268+N358+N448+N538+N628+N718+N808+N898+N988+N1078+N1168+N1258+N1348+N1438+N1618+N1708+N1798+N1888+N1977</f>
        <v>39168368.132870525</v>
      </c>
      <c r="N26" s="685">
        <f>N89+N179+N269+N359+N449+N539+N629+N719+N809+N899+N989+N1079+N1169+N1259+N1349+N1439+N1619+N1709+N1799+N1889+N1978</f>
        <v>39168368.132870525</v>
      </c>
      <c r="O26" s="478">
        <f>+N26-M26</f>
        <v>0</v>
      </c>
      <c r="P26" s="465"/>
    </row>
    <row r="27" spans="3:16">
      <c r="C27" s="455"/>
      <c r="D27" s="473"/>
      <c r="E27" s="473"/>
      <c r="F27" s="465"/>
      <c r="G27" s="465"/>
      <c r="H27" s="465"/>
      <c r="I27" s="465"/>
      <c r="J27" s="465"/>
      <c r="K27" s="479"/>
      <c r="L27" s="479"/>
      <c r="M27" s="480"/>
      <c r="N27" s="479"/>
      <c r="O27" s="479"/>
      <c r="P27" s="465"/>
    </row>
    <row r="28" spans="3:16">
      <c r="C28" s="452" t="str">
        <f>"   Rate Base  (TCOS, ln "&amp;TCOS!B118&amp;")"</f>
        <v xml:space="preserve">   Rate Base  (TCOS, ln 58)</v>
      </c>
      <c r="D28" s="453"/>
      <c r="F28" s="481">
        <f>TCOS!L118</f>
        <v>5487414341.316987</v>
      </c>
      <c r="G28" s="465"/>
      <c r="H28" s="465"/>
      <c r="I28" s="465"/>
      <c r="J28" s="465"/>
      <c r="K28" s="479"/>
      <c r="L28" s="479"/>
      <c r="M28" s="479"/>
      <c r="N28" s="479"/>
      <c r="O28" s="482"/>
      <c r="P28" s="465"/>
    </row>
    <row r="29" spans="3:16">
      <c r="C29" s="455" t="s">
        <v>276</v>
      </c>
      <c r="D29" s="483"/>
      <c r="F29" s="463">
        <f>F24</f>
        <v>7.4319857424671232E-2</v>
      </c>
      <c r="G29" s="465"/>
      <c r="H29" s="465"/>
      <c r="I29" s="465"/>
      <c r="J29" s="465"/>
      <c r="K29" s="465"/>
      <c r="L29" s="465"/>
      <c r="M29" s="465"/>
      <c r="N29" s="465"/>
      <c r="O29" s="465"/>
      <c r="P29" s="465"/>
    </row>
    <row r="30" spans="3:16">
      <c r="C30" s="484" t="s">
        <v>53</v>
      </c>
      <c r="D30" s="484"/>
      <c r="F30" s="466">
        <f>F28*F29</f>
        <v>407823851.47677469</v>
      </c>
      <c r="G30" s="465"/>
      <c r="H30" s="465"/>
      <c r="I30" s="466"/>
      <c r="J30" s="466"/>
      <c r="K30" s="466"/>
      <c r="L30" s="466"/>
      <c r="M30" s="466"/>
      <c r="N30" s="466"/>
      <c r="O30" s="465"/>
      <c r="P30" s="466"/>
    </row>
    <row r="31" spans="3:16">
      <c r="C31" s="484"/>
      <c r="D31" s="455"/>
      <c r="E31" s="455"/>
      <c r="F31" s="465"/>
      <c r="G31" s="465"/>
      <c r="H31" s="465"/>
      <c r="I31" s="466"/>
      <c r="J31" s="466"/>
      <c r="K31" s="466"/>
      <c r="L31" s="466"/>
      <c r="M31" s="466"/>
      <c r="N31" s="466"/>
      <c r="O31" s="465"/>
      <c r="P31" s="466"/>
    </row>
    <row r="32" spans="3:16" ht="15.75">
      <c r="C32" s="451" t="str">
        <f>"C.   Determine Income Taxes using Return with hypothetical "&amp;F17&amp;" basis point ROE increase for Identified Projects."</f>
        <v>C.   Determine Income Taxes using Return with hypothetical 0 basis point ROE increase for Identified Projects.</v>
      </c>
      <c r="D32" s="485"/>
      <c r="E32" s="485"/>
      <c r="F32" s="486"/>
      <c r="G32" s="486"/>
      <c r="H32" s="486"/>
      <c r="I32" s="487"/>
      <c r="J32" s="487"/>
      <c r="K32" s="487"/>
      <c r="L32" s="487"/>
      <c r="M32" s="487"/>
      <c r="N32" s="487"/>
      <c r="O32" s="486"/>
      <c r="P32" s="487"/>
    </row>
    <row r="33" spans="2:16">
      <c r="C33" s="452"/>
      <c r="D33" s="455"/>
      <c r="E33" s="455"/>
      <c r="F33" s="465"/>
      <c r="G33" s="465"/>
      <c r="H33" s="465"/>
      <c r="I33" s="466"/>
      <c r="J33" s="466"/>
      <c r="K33" s="466"/>
      <c r="L33" s="466"/>
      <c r="M33" s="466"/>
      <c r="N33" s="466"/>
      <c r="O33" s="465"/>
      <c r="P33" s="466"/>
    </row>
    <row r="34" spans="2:16">
      <c r="C34" s="455" t="s">
        <v>54</v>
      </c>
      <c r="D34" s="468"/>
      <c r="F34" s="488">
        <f>F30</f>
        <v>407823851.47677469</v>
      </c>
      <c r="G34" s="465"/>
      <c r="H34" s="465"/>
      <c r="I34" s="465"/>
      <c r="J34" s="465"/>
      <c r="K34" s="465"/>
      <c r="L34" s="465"/>
      <c r="M34" s="465"/>
      <c r="N34" s="465"/>
      <c r="O34" s="465"/>
      <c r="P34" s="465"/>
    </row>
    <row r="35" spans="2:16">
      <c r="C35" s="452" t="str">
        <f>"   Effective Tax Rate  (TCOS, ln "&amp;TCOS!B178&amp;")"</f>
        <v xml:space="preserve">   Effective Tax Rate  (TCOS, ln 97)</v>
      </c>
      <c r="D35" s="47"/>
      <c r="F35" s="489">
        <f>TCOS!G178</f>
        <v>0.19604313460260026</v>
      </c>
      <c r="G35" s="3"/>
      <c r="H35" s="490"/>
      <c r="I35" s="3"/>
      <c r="J35" s="3"/>
      <c r="K35" s="3"/>
      <c r="L35" s="3"/>
      <c r="M35" s="3"/>
      <c r="N35" s="3"/>
      <c r="O35" s="3"/>
      <c r="P35" s="3"/>
    </row>
    <row r="36" spans="2:16">
      <c r="C36" s="484" t="s">
        <v>55</v>
      </c>
      <c r="D36" s="47"/>
      <c r="F36" s="491">
        <f>F34*F35</f>
        <v>79951066.209212199</v>
      </c>
      <c r="G36" s="3"/>
      <c r="H36" s="490"/>
      <c r="I36" s="3"/>
      <c r="J36" s="3"/>
      <c r="K36" s="3"/>
      <c r="L36" s="3"/>
      <c r="M36" s="3"/>
      <c r="N36" s="3"/>
      <c r="O36" s="3"/>
      <c r="P36" s="3"/>
    </row>
    <row r="37" spans="2:16" ht="15">
      <c r="C37" s="452" t="s">
        <v>97</v>
      </c>
      <c r="D37" s="135"/>
      <c r="F37" s="465">
        <f>TCOS!L186</f>
        <v>0</v>
      </c>
      <c r="G37" s="135"/>
      <c r="H37" s="135"/>
      <c r="I37" s="135"/>
      <c r="J37" s="135"/>
      <c r="K37" s="135"/>
      <c r="L37" s="135"/>
      <c r="M37" s="135"/>
      <c r="N37" s="135"/>
      <c r="O37" s="149"/>
      <c r="P37" s="135"/>
    </row>
    <row r="38" spans="2:16" ht="15">
      <c r="C38" s="452" t="s">
        <v>550</v>
      </c>
      <c r="D38" s="135"/>
      <c r="F38" s="465">
        <f>TCOS!L187</f>
        <v>507217.39453477086</v>
      </c>
      <c r="G38" s="135"/>
      <c r="H38" s="135"/>
      <c r="I38" s="135"/>
      <c r="J38" s="135"/>
      <c r="K38" s="135"/>
      <c r="L38" s="135"/>
      <c r="M38" s="135"/>
      <c r="N38" s="135"/>
      <c r="O38" s="149"/>
      <c r="P38" s="135"/>
    </row>
    <row r="39" spans="2:16" ht="15.75" thickBot="1">
      <c r="C39" s="452" t="s">
        <v>552</v>
      </c>
      <c r="D39" s="135"/>
      <c r="F39" s="492">
        <f>TCOS!L188</f>
        <v>1384108.5237823687</v>
      </c>
      <c r="G39" s="135"/>
      <c r="H39" s="135"/>
      <c r="I39" s="135"/>
      <c r="J39" s="135"/>
      <c r="K39" s="135"/>
      <c r="L39" s="135"/>
      <c r="M39" s="135"/>
      <c r="N39" s="135"/>
      <c r="O39" s="149"/>
      <c r="P39" s="135"/>
    </row>
    <row r="40" spans="2:16" ht="15">
      <c r="C40" s="484" t="s">
        <v>56</v>
      </c>
      <c r="D40" s="135"/>
      <c r="F40" s="465">
        <f>F36+F37+F38+F39</f>
        <v>81842392.127529338</v>
      </c>
      <c r="G40" s="241"/>
      <c r="H40" s="135"/>
      <c r="I40" s="135"/>
      <c r="J40" s="135"/>
      <c r="K40" s="135"/>
      <c r="L40" s="135"/>
      <c r="M40" s="135"/>
      <c r="N40" s="135"/>
      <c r="O40" s="148"/>
      <c r="P40" s="135"/>
    </row>
    <row r="41" spans="2:16" ht="12.75" customHeight="1">
      <c r="C41" s="131"/>
      <c r="D41" s="135"/>
      <c r="E41" s="135"/>
      <c r="F41" s="135"/>
      <c r="G41" s="135"/>
      <c r="H41" s="135"/>
      <c r="I41" s="135"/>
      <c r="J41" s="135"/>
      <c r="K41" s="135"/>
      <c r="L41" s="135"/>
      <c r="M41" s="135"/>
      <c r="N41" s="135"/>
      <c r="O41" s="148"/>
      <c r="P41" s="135"/>
    </row>
    <row r="42" spans="2:16" ht="18.75">
      <c r="B42" s="449" t="s">
        <v>462</v>
      </c>
      <c r="C42" s="6" t="str">
        <f>"Calculate Net Plant Carrying Charge Rate (Fixed Charge Rate or FCR) with hypothetical "&amp;F17&amp;""</f>
        <v>Calculate Net Plant Carrying Charge Rate (Fixed Charge Rate or FCR) with hypothetical 0</v>
      </c>
      <c r="D42" s="135"/>
      <c r="E42" s="135"/>
      <c r="F42" s="135"/>
      <c r="G42" s="135"/>
      <c r="H42" s="135"/>
      <c r="I42" s="135"/>
      <c r="J42" s="135"/>
      <c r="K42" s="135"/>
      <c r="L42" s="135"/>
      <c r="M42" s="135"/>
      <c r="N42" s="135"/>
      <c r="O42" s="148"/>
      <c r="P42" s="135"/>
    </row>
    <row r="43" spans="2:16" ht="18.75" customHeight="1">
      <c r="C43" s="6" t="str">
        <f>"basis point ROE increase."</f>
        <v>basis point ROE increase.</v>
      </c>
      <c r="D43" s="135"/>
      <c r="E43" s="135"/>
      <c r="F43" s="135"/>
      <c r="G43" s="135"/>
      <c r="H43" s="135"/>
      <c r="I43" s="135"/>
      <c r="J43" s="135"/>
      <c r="K43" s="135"/>
      <c r="L43" s="135"/>
      <c r="M43" s="135"/>
      <c r="N43" s="135"/>
      <c r="O43" s="148"/>
      <c r="P43" s="135"/>
    </row>
    <row r="44" spans="2:16" ht="12.75" customHeight="1">
      <c r="C44" s="6"/>
      <c r="D44" s="135"/>
      <c r="E44" s="135"/>
      <c r="F44" s="135"/>
      <c r="G44" s="135"/>
      <c r="H44" s="135"/>
      <c r="I44" s="135"/>
      <c r="J44" s="135"/>
      <c r="K44" s="135"/>
      <c r="L44" s="135"/>
      <c r="M44" s="135"/>
      <c r="N44" s="135"/>
      <c r="O44" s="148"/>
      <c r="P44" s="135"/>
    </row>
    <row r="45" spans="2:16" ht="15.75">
      <c r="C45" s="451" t="s">
        <v>253</v>
      </c>
      <c r="D45" s="135"/>
      <c r="E45" s="135"/>
      <c r="F45" s="131"/>
      <c r="G45" s="135"/>
      <c r="H45" s="135"/>
      <c r="I45" s="135"/>
      <c r="J45" s="135"/>
      <c r="K45" s="135"/>
      <c r="L45" s="135"/>
      <c r="M45" s="135"/>
      <c r="N45" s="135"/>
      <c r="O45" s="148"/>
      <c r="P45" s="135"/>
    </row>
    <row r="46" spans="2:16">
      <c r="B46" s="3"/>
      <c r="C46" s="452"/>
      <c r="D46" s="453"/>
      <c r="E46" s="453"/>
      <c r="F46" s="453"/>
      <c r="G46" s="453"/>
      <c r="H46" s="453"/>
      <c r="I46" s="453"/>
      <c r="J46" s="453"/>
      <c r="K46" s="453"/>
      <c r="L46" s="453"/>
      <c r="M46" s="453"/>
      <c r="N46" s="453"/>
      <c r="O46" s="465"/>
      <c r="P46" s="453"/>
    </row>
    <row r="47" spans="2:16" ht="12.75" customHeight="1">
      <c r="B47" s="3"/>
      <c r="C47" s="452" t="str">
        <f>"   Annual Revenue Requirement  (TCOS, ln "&amp;TCOS!B13&amp;")"</f>
        <v xml:space="preserve">   Annual Revenue Requirement  (TCOS, ln 1)</v>
      </c>
      <c r="D47" s="453"/>
      <c r="E47" s="453"/>
      <c r="G47" s="465">
        <f>TCOS!L13</f>
        <v>1060516789.631901</v>
      </c>
      <c r="H47" s="688"/>
      <c r="I47" s="453"/>
      <c r="J47" s="453"/>
      <c r="K47" s="453"/>
      <c r="L47" s="453"/>
      <c r="M47" s="453"/>
      <c r="N47" s="453"/>
      <c r="O47" s="465"/>
      <c r="P47" s="453"/>
    </row>
    <row r="48" spans="2:16" ht="12.75" customHeight="1">
      <c r="B48" s="3"/>
      <c r="C48" s="452" t="str">
        <f>"   Lease Payments (TCOS, Ln "&amp;TCOS!B157&amp;")"</f>
        <v xml:space="preserve">   Lease Payments (TCOS, Ln 80)</v>
      </c>
      <c r="D48" s="453"/>
      <c r="E48" s="453"/>
      <c r="G48" s="465">
        <f>+TCOS!L157</f>
        <v>0</v>
      </c>
      <c r="H48" s="688"/>
      <c r="I48" s="453"/>
      <c r="J48" s="453"/>
      <c r="K48" s="453"/>
      <c r="L48" s="453"/>
      <c r="M48" s="453"/>
      <c r="N48" s="453"/>
      <c r="O48" s="465"/>
      <c r="P48" s="453"/>
    </row>
    <row r="49" spans="2:16">
      <c r="B49" s="3"/>
      <c r="C49" s="452" t="str">
        <f>"   Return  (TCOS, ln "&amp;TCOS!B191&amp;")"</f>
        <v xml:space="preserve">   Return  (TCOS, ln 109)</v>
      </c>
      <c r="D49" s="453"/>
      <c r="E49" s="453"/>
      <c r="G49" s="466">
        <f>TCOS!L191</f>
        <v>407823851.47677469</v>
      </c>
      <c r="H49" s="689"/>
      <c r="I49" s="453"/>
      <c r="J49" s="452"/>
      <c r="K49" s="452"/>
      <c r="L49" s="452"/>
      <c r="M49" s="452"/>
      <c r="N49" s="452"/>
      <c r="O49" s="465"/>
      <c r="P49" s="452"/>
    </row>
    <row r="50" spans="2:16">
      <c r="B50" s="3"/>
      <c r="C50" s="452" t="str">
        <f>"   Income Taxes  (TCOS, ln "&amp;TCOS!B189&amp;")"</f>
        <v xml:space="preserve">   Income Taxes  (TCOS, ln 108)</v>
      </c>
      <c r="D50" s="453"/>
      <c r="E50" s="453"/>
      <c r="G50" s="494">
        <f>F40</f>
        <v>81842392.127529338</v>
      </c>
      <c r="H50" s="688"/>
      <c r="I50" s="453"/>
      <c r="J50" s="495"/>
      <c r="K50" s="495"/>
      <c r="L50" s="495"/>
      <c r="M50" s="495"/>
      <c r="N50" s="495"/>
      <c r="O50" s="453"/>
      <c r="P50" s="495"/>
    </row>
    <row r="51" spans="2:16">
      <c r="B51" s="3"/>
      <c r="C51" s="3" t="s">
        <v>607</v>
      </c>
      <c r="D51" s="453"/>
      <c r="E51" s="453"/>
      <c r="G51" s="466">
        <f>G47-G49-G50-G48</f>
        <v>570850546.02759695</v>
      </c>
      <c r="H51" s="466"/>
      <c r="I51" s="453"/>
      <c r="J51" s="496"/>
      <c r="K51" s="496"/>
      <c r="L51" s="496"/>
      <c r="M51" s="496"/>
      <c r="N51" s="496"/>
      <c r="O51" s="496"/>
      <c r="P51" s="496"/>
    </row>
    <row r="52" spans="2:16">
      <c r="B52" s="3"/>
      <c r="C52" s="452"/>
      <c r="D52" s="453"/>
      <c r="E52" s="453"/>
      <c r="F52" s="465"/>
      <c r="G52" s="497"/>
      <c r="H52" s="498"/>
      <c r="I52" s="453"/>
      <c r="J52" s="498"/>
      <c r="K52" s="498"/>
      <c r="L52" s="498"/>
      <c r="M52" s="498"/>
      <c r="N52" s="498"/>
      <c r="O52" s="498"/>
      <c r="P52" s="498"/>
    </row>
    <row r="53" spans="2:16" ht="15.75">
      <c r="B53" s="3"/>
      <c r="C53" s="451" t="str">
        <f>"B.   Determine Annual Revenue Requirement with hypothetical "&amp;F17&amp;" basis point increase in ROE."</f>
        <v>B.   Determine Annual Revenue Requirement with hypothetical 0 basis point increase in ROE.</v>
      </c>
      <c r="D53" s="455"/>
      <c r="E53" s="455"/>
      <c r="F53" s="465"/>
      <c r="G53" s="497"/>
      <c r="H53" s="498"/>
      <c r="I53" s="498"/>
      <c r="J53" s="498"/>
      <c r="K53" s="498"/>
      <c r="L53" s="498"/>
      <c r="M53" s="498"/>
      <c r="N53" s="498"/>
      <c r="O53" s="498"/>
      <c r="P53" s="498"/>
    </row>
    <row r="54" spans="2:16">
      <c r="B54" s="3"/>
      <c r="C54" s="452"/>
      <c r="D54" s="455"/>
      <c r="E54" s="455"/>
      <c r="F54" s="465"/>
      <c r="G54" s="497"/>
      <c r="H54" s="498"/>
      <c r="I54" s="498"/>
      <c r="J54" s="498"/>
      <c r="K54" s="498"/>
      <c r="L54" s="498"/>
      <c r="M54" s="498"/>
      <c r="N54" s="498"/>
      <c r="O54" s="498"/>
      <c r="P54" s="498"/>
    </row>
    <row r="55" spans="2:16">
      <c r="B55" s="3"/>
      <c r="C55" s="452" t="str">
        <f>C51</f>
        <v xml:space="preserve">   Annual Revenue Requirement, Less Return and Taxes</v>
      </c>
      <c r="D55" s="455"/>
      <c r="E55" s="455"/>
      <c r="G55" s="465">
        <f>G51</f>
        <v>570850546.02759695</v>
      </c>
      <c r="H55" s="465"/>
      <c r="I55" s="453"/>
      <c r="J55" s="453"/>
      <c r="K55" s="453"/>
      <c r="L55" s="453"/>
      <c r="M55" s="453"/>
      <c r="N55" s="453"/>
      <c r="O55" s="499"/>
      <c r="P55" s="453"/>
    </row>
    <row r="56" spans="2:16">
      <c r="B56" s="3"/>
      <c r="C56" s="455" t="s">
        <v>94</v>
      </c>
      <c r="D56" s="47"/>
      <c r="E56" s="3"/>
      <c r="G56" s="491">
        <f>F30</f>
        <v>407823851.47677469</v>
      </c>
      <c r="H56" s="690"/>
      <c r="I56" s="453"/>
      <c r="J56" s="3"/>
      <c r="K56" s="3"/>
      <c r="L56" s="3"/>
      <c r="M56" s="3"/>
      <c r="N56" s="3"/>
      <c r="O56" s="3"/>
      <c r="P56" s="3"/>
    </row>
    <row r="57" spans="2:16" ht="12.75" customHeight="1">
      <c r="B57" s="3"/>
      <c r="C57" s="452" t="s">
        <v>62</v>
      </c>
      <c r="D57" s="453"/>
      <c r="E57" s="453"/>
      <c r="G57" s="494">
        <f>F40</f>
        <v>81842392.127529338</v>
      </c>
      <c r="H57" s="688"/>
      <c r="I57" s="453"/>
      <c r="J57" s="3"/>
      <c r="K57" s="3"/>
      <c r="L57" s="3"/>
      <c r="M57" s="3"/>
      <c r="N57" s="3"/>
      <c r="O57" s="3"/>
      <c r="P57" s="3"/>
    </row>
    <row r="58" spans="2:16">
      <c r="B58" s="3"/>
      <c r="C58" s="3" t="str">
        <f>"   Annual Revenue Requirement, with "&amp;F17&amp;" Basis Point ROE increase"</f>
        <v xml:space="preserve">   Annual Revenue Requirement, with 0 Basis Point ROE increase</v>
      </c>
      <c r="D58" s="47"/>
      <c r="E58" s="3"/>
      <c r="G58" s="491">
        <f>SUM(G55:G57)</f>
        <v>1060516789.631901</v>
      </c>
      <c r="H58" s="690"/>
      <c r="I58" s="453"/>
      <c r="J58" s="3"/>
      <c r="K58" s="3"/>
      <c r="L58" s="3"/>
      <c r="M58" s="3"/>
      <c r="N58" s="3"/>
      <c r="O58" s="3"/>
      <c r="P58" s="3"/>
    </row>
    <row r="59" spans="2:16">
      <c r="B59" s="3"/>
      <c r="C59" s="452" t="str">
        <f>"   Depreciation &amp; Amortization (TCOS, ln "&amp;TCOS!B161&amp;")"</f>
        <v xml:space="preserve">   Depreciation &amp; Amortization (TCOS, ln 83)</v>
      </c>
      <c r="D59" s="47"/>
      <c r="E59" s="3"/>
      <c r="G59" s="500">
        <f>TCOS!L161</f>
        <v>202266459.25446859</v>
      </c>
      <c r="H59" s="690"/>
      <c r="I59" s="453"/>
      <c r="J59" s="3"/>
      <c r="K59" s="3"/>
      <c r="L59" s="3"/>
      <c r="M59" s="3"/>
      <c r="N59" s="3"/>
      <c r="O59" s="3"/>
      <c r="P59" s="3"/>
    </row>
    <row r="60" spans="2:16">
      <c r="B60" s="3"/>
      <c r="C60" s="3" t="str">
        <f>"   Annual Rev. Req, w/"&amp;F17&amp;" Basis Point ROE increase, less Depreciation"</f>
        <v xml:space="preserve">   Annual Rev. Req, w/0 Basis Point ROE increase, less Depreciation</v>
      </c>
      <c r="D60" s="47"/>
      <c r="E60" s="3"/>
      <c r="G60" s="491">
        <f>G58-G59</f>
        <v>858250330.37743247</v>
      </c>
      <c r="H60" s="690"/>
      <c r="I60" s="453"/>
      <c r="J60" s="3"/>
      <c r="K60" s="3"/>
      <c r="L60" s="3"/>
      <c r="M60" s="3"/>
      <c r="N60" s="3"/>
      <c r="O60" s="3"/>
      <c r="P60" s="3"/>
    </row>
    <row r="61" spans="2:16">
      <c r="B61" s="3"/>
      <c r="C61" s="3"/>
      <c r="D61" s="47"/>
      <c r="E61" s="3"/>
      <c r="F61" s="3"/>
      <c r="G61" s="3"/>
      <c r="H61" s="691"/>
      <c r="I61" s="453"/>
      <c r="J61" s="3"/>
      <c r="K61" s="3"/>
      <c r="L61" s="3"/>
      <c r="M61" s="3"/>
      <c r="N61" s="3"/>
      <c r="O61" s="3"/>
      <c r="P61" s="3"/>
    </row>
    <row r="62" spans="2:16" ht="15.75">
      <c r="B62" s="3"/>
      <c r="C62" s="451" t="str">
        <f>"C.   Determine FCR with hypothetical "&amp;F17&amp;" basis point ROE increase."</f>
        <v>C.   Determine FCR with hypothetical 0 basis point ROE increase.</v>
      </c>
      <c r="D62" s="47"/>
      <c r="E62" s="3"/>
      <c r="F62" s="3"/>
      <c r="G62" s="3"/>
      <c r="H62" s="691"/>
      <c r="I62" s="453"/>
      <c r="J62" s="3"/>
      <c r="K62" s="3"/>
      <c r="L62" s="3"/>
      <c r="M62" s="3"/>
      <c r="N62" s="3"/>
      <c r="O62" s="3"/>
      <c r="P62" s="3"/>
    </row>
    <row r="63" spans="2:16">
      <c r="B63" s="3"/>
      <c r="C63" s="3"/>
      <c r="D63" s="47"/>
      <c r="E63" s="3"/>
      <c r="F63" s="3"/>
      <c r="G63" s="3"/>
      <c r="H63" s="691"/>
      <c r="I63" s="453"/>
      <c r="J63" s="3"/>
      <c r="K63" s="3"/>
      <c r="L63" s="3"/>
      <c r="M63" s="3"/>
      <c r="N63" s="3"/>
      <c r="O63" s="3"/>
      <c r="P63" s="3"/>
    </row>
    <row r="64" spans="2:16">
      <c r="B64" s="3"/>
      <c r="C64" s="452" t="str">
        <f>"   Net Transmission Plant  (Projected TCOS, ln "&amp;TCOS!B83&amp;")"</f>
        <v xml:space="preserve">   Net Transmission Plant  (Projected TCOS, ln 33)</v>
      </c>
      <c r="D64" s="47"/>
      <c r="E64" s="3"/>
      <c r="G64" s="491">
        <f>TCOS!L83</f>
        <v>5755326421.182127</v>
      </c>
      <c r="H64" s="690"/>
      <c r="I64" s="453"/>
      <c r="J64" s="3"/>
      <c r="K64" s="3"/>
      <c r="L64" s="3"/>
      <c r="M64" s="3"/>
      <c r="N64" s="3"/>
      <c r="O64" s="3"/>
      <c r="P64" s="3"/>
    </row>
    <row r="65" spans="2:17">
      <c r="B65" s="3"/>
      <c r="C65" s="3" t="str">
        <f>"   Annual Revenue Requirement, with "&amp;F17&amp;" Basis Point ROE increase"</f>
        <v xml:space="preserve">   Annual Revenue Requirement, with 0 Basis Point ROE increase</v>
      </c>
      <c r="D65" s="47"/>
      <c r="E65" s="3"/>
      <c r="G65" s="491">
        <f>G58</f>
        <v>1060516789.631901</v>
      </c>
      <c r="H65" s="690"/>
      <c r="I65" s="453"/>
      <c r="J65" s="3"/>
      <c r="K65" s="3"/>
      <c r="L65" s="3"/>
      <c r="M65" s="3"/>
      <c r="N65" s="3"/>
      <c r="O65" s="3"/>
      <c r="P65" s="3"/>
    </row>
    <row r="66" spans="2:17">
      <c r="B66" s="3"/>
      <c r="C66" s="3" t="str">
        <f>"   FCR with "&amp;F17&amp;" Basis Point increase in ROE"</f>
        <v xml:space="preserve">   FCR with 0 Basis Point increase in ROE</v>
      </c>
      <c r="D66" s="47"/>
      <c r="E66" s="3"/>
      <c r="G66" s="489">
        <f>IF(G64=0,0,G65/G64)</f>
        <v>0.1842670097266306</v>
      </c>
      <c r="H66" s="692"/>
      <c r="I66" s="453"/>
      <c r="J66" s="3"/>
      <c r="K66" s="3"/>
      <c r="L66" s="3"/>
      <c r="M66" s="3"/>
      <c r="N66" s="3"/>
      <c r="O66" s="3"/>
      <c r="P66" s="3"/>
    </row>
    <row r="67" spans="2:17">
      <c r="B67" s="3"/>
      <c r="C67" s="41"/>
      <c r="D67" s="47"/>
      <c r="E67" s="3"/>
      <c r="G67" s="3"/>
      <c r="H67" s="291"/>
      <c r="I67" s="453"/>
      <c r="J67" s="3"/>
      <c r="K67" s="3"/>
      <c r="L67" s="3"/>
      <c r="M67" s="3"/>
      <c r="N67" s="3"/>
      <c r="O67" s="3"/>
      <c r="P67" s="3"/>
    </row>
    <row r="68" spans="2:17">
      <c r="B68" s="3"/>
      <c r="C68" s="3" t="str">
        <f>"   Annual Rev. Req, w / "&amp;F17&amp;" Basis Point ROE increase, less Dep."</f>
        <v xml:space="preserve">   Annual Rev. Req, w / 0 Basis Point ROE increase, less Dep.</v>
      </c>
      <c r="D68" s="47"/>
      <c r="E68" s="3"/>
      <c r="G68" s="491">
        <f>G60</f>
        <v>858250330.37743247</v>
      </c>
      <c r="H68" s="690"/>
      <c r="I68" s="453"/>
      <c r="J68" s="3"/>
      <c r="K68" s="3"/>
      <c r="L68" s="3"/>
      <c r="M68" s="3"/>
      <c r="N68" s="3"/>
      <c r="O68" s="3"/>
      <c r="P68" s="3"/>
    </row>
    <row r="69" spans="2:17">
      <c r="B69" s="3"/>
      <c r="C69" s="3" t="str">
        <f>"   FCR with "&amp;F17&amp;" Basis Point ROE increase, less Depreciation"</f>
        <v xml:space="preserve">   FCR with 0 Basis Point ROE increase, less Depreciation</v>
      </c>
      <c r="D69" s="47"/>
      <c r="E69" s="3"/>
      <c r="G69" s="489">
        <f>IF(G64=0,0,G68/G64)</f>
        <v>0.14912278949438812</v>
      </c>
      <c r="H69" s="692"/>
      <c r="I69" s="501"/>
      <c r="J69" s="3"/>
      <c r="K69" s="3"/>
      <c r="L69" s="3"/>
      <c r="M69" s="3"/>
      <c r="N69" s="3"/>
      <c r="O69" s="3"/>
      <c r="P69" s="3"/>
    </row>
    <row r="70" spans="2:17">
      <c r="B70" s="3"/>
      <c r="C70" s="452" t="str">
        <f>"   FCR less Depreciation  (TCOS, ln "&amp;TCOS!B31&amp;")"</f>
        <v xml:space="preserve">   FCR less Depreciation  (TCOS, ln 10)</v>
      </c>
      <c r="D70" s="47"/>
      <c r="E70" s="3"/>
      <c r="G70" s="502">
        <f>TCOS!L31</f>
        <v>0.14912278949438812</v>
      </c>
      <c r="H70" s="693"/>
      <c r="I70" s="501"/>
      <c r="J70" s="3"/>
      <c r="K70" s="3"/>
      <c r="L70" s="3"/>
      <c r="M70" s="3"/>
      <c r="N70" s="3"/>
      <c r="O70" s="3"/>
      <c r="P70" s="3"/>
    </row>
    <row r="71" spans="2:17">
      <c r="B71" s="3"/>
      <c r="C71" s="3" t="str">
        <f>"   Incremental FCR with "&amp;F17&amp;" Basis Point ROE increase, less Depreciation"</f>
        <v xml:space="preserve">   Incremental FCR with 0 Basis Point ROE increase, less Depreciation</v>
      </c>
      <c r="D71" s="47"/>
      <c r="E71" s="3"/>
      <c r="G71" s="489">
        <f>G69-G70</f>
        <v>0</v>
      </c>
      <c r="H71" s="692"/>
      <c r="I71" s="453"/>
      <c r="J71" s="3"/>
      <c r="K71" s="3"/>
      <c r="L71" s="3"/>
      <c r="M71" s="3"/>
      <c r="N71" s="3"/>
      <c r="O71" s="3"/>
      <c r="P71" s="3"/>
    </row>
    <row r="72" spans="2:17">
      <c r="B72" s="3"/>
      <c r="C72" s="3"/>
      <c r="D72" s="47"/>
      <c r="E72" s="3"/>
      <c r="F72" s="489"/>
      <c r="G72" s="3"/>
      <c r="H72" s="691"/>
      <c r="I72" s="3"/>
      <c r="J72" s="3"/>
      <c r="K72" s="3"/>
      <c r="L72" s="3"/>
      <c r="M72" s="3"/>
      <c r="N72" s="3"/>
      <c r="O72" s="3"/>
      <c r="P72" s="3"/>
    </row>
    <row r="73" spans="2:17" ht="18.75">
      <c r="B73" s="449" t="s">
        <v>463</v>
      </c>
      <c r="C73" s="6" t="s">
        <v>63</v>
      </c>
      <c r="D73" s="47"/>
      <c r="E73" s="3"/>
      <c r="F73" s="489"/>
      <c r="G73" s="3"/>
      <c r="H73" s="691"/>
      <c r="I73" s="3"/>
      <c r="J73" s="3"/>
      <c r="K73" s="3"/>
      <c r="L73" s="3"/>
      <c r="M73" s="3"/>
      <c r="N73" s="3"/>
      <c r="O73" s="3"/>
      <c r="P73" s="3"/>
    </row>
    <row r="74" spans="2:17">
      <c r="B74" s="3"/>
      <c r="C74" s="3"/>
      <c r="D74" s="47"/>
      <c r="E74" s="3"/>
      <c r="F74" s="489"/>
      <c r="G74" s="3"/>
      <c r="H74" s="691"/>
      <c r="I74" s="3"/>
      <c r="J74" s="3"/>
      <c r="K74" s="3"/>
      <c r="L74" s="3"/>
      <c r="M74" s="3"/>
      <c r="N74" s="3"/>
      <c r="O74" s="3"/>
      <c r="P74" s="3"/>
    </row>
    <row r="75" spans="2:17">
      <c r="B75" s="3"/>
      <c r="C75" s="3" t="str">
        <f>+"Average Transmission Plant Balance for "&amp;TCOS!L4&amp;" TCOS, ln "&amp;TCOS!B63</f>
        <v>Average Transmission Plant Balance for 2026 TCOS, ln 19</v>
      </c>
      <c r="D75" s="47"/>
      <c r="E75" s="3"/>
      <c r="F75" s="3"/>
      <c r="G75" s="344">
        <f>TCOS!L63</f>
        <v>6935189789.4374428</v>
      </c>
      <c r="I75" s="3"/>
      <c r="J75" s="3"/>
      <c r="K75" s="503"/>
      <c r="L75" s="3"/>
      <c r="M75" s="3"/>
      <c r="N75" s="3"/>
      <c r="O75" s="3"/>
      <c r="P75" s="3"/>
    </row>
    <row r="76" spans="2:17">
      <c r="B76" s="3"/>
      <c r="C76" s="3" t="str">
        <f>"Annual Depreciation and Amortization Expense (TCOS, ln "&amp;TCOS!B161&amp;")"</f>
        <v>Annual Depreciation and Amortization Expense (TCOS, ln 83)</v>
      </c>
      <c r="D76" s="47"/>
      <c r="E76" s="3"/>
      <c r="G76" s="344">
        <f>TCOS!L161</f>
        <v>202266459.25446859</v>
      </c>
      <c r="H76" s="490"/>
      <c r="I76" s="3"/>
      <c r="J76" s="3"/>
      <c r="K76" s="3"/>
      <c r="L76" s="3"/>
      <c r="M76" s="3"/>
      <c r="N76" s="3"/>
      <c r="O76" s="3"/>
      <c r="P76" s="3"/>
    </row>
    <row r="77" spans="2:17" ht="12.75" customHeight="1">
      <c r="B77" s="3"/>
      <c r="C77" s="3" t="s">
        <v>64</v>
      </c>
      <c r="D77" s="47"/>
      <c r="E77" s="3"/>
      <c r="G77" s="634">
        <f>G76/G75</f>
        <v>2.9165237779437282E-2</v>
      </c>
      <c r="H77" s="504"/>
      <c r="I77" s="1198"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AEP Ohio Transmission Company establishes Transmission plant in service the depreciation expense component of the carrying charge will be calculated as in the Operating Company formula approved in Docket No. ER08-1329.  The calculation for AEP Ohio Transmission Company is shown on Worksheet P.</v>
      </c>
      <c r="J77" s="1198"/>
      <c r="K77" s="1198"/>
      <c r="L77" s="1198"/>
      <c r="M77" s="1198"/>
      <c r="N77" s="1198"/>
      <c r="O77" s="1198"/>
      <c r="P77" s="450"/>
      <c r="Q77" s="450"/>
    </row>
    <row r="78" spans="2:17">
      <c r="B78" s="3"/>
      <c r="C78" s="3" t="s">
        <v>65</v>
      </c>
      <c r="D78" s="47"/>
      <c r="E78" s="3"/>
      <c r="G78" s="505">
        <f>IF(G77=0,0,1/G77)</f>
        <v>34.287394039524756</v>
      </c>
      <c r="H78" s="490"/>
      <c r="I78" s="1198"/>
      <c r="J78" s="1198"/>
      <c r="K78" s="1198"/>
      <c r="L78" s="1198"/>
      <c r="M78" s="1198"/>
      <c r="N78" s="1198"/>
      <c r="O78" s="1198"/>
      <c r="P78" s="450"/>
      <c r="Q78" s="450"/>
    </row>
    <row r="79" spans="2:17">
      <c r="B79" s="3"/>
      <c r="C79" s="3" t="s">
        <v>588</v>
      </c>
      <c r="D79" s="47"/>
      <c r="E79" s="3"/>
      <c r="G79" s="506">
        <f>ROUND(G78,0)</f>
        <v>34</v>
      </c>
      <c r="H79" s="490"/>
      <c r="I79" s="1198"/>
      <c r="J79" s="1198"/>
      <c r="K79" s="1198"/>
      <c r="L79" s="1198"/>
      <c r="M79" s="1198"/>
      <c r="N79" s="1198"/>
      <c r="O79" s="1198"/>
      <c r="P79" s="450"/>
      <c r="Q79" s="450"/>
    </row>
    <row r="80" spans="2:17">
      <c r="B80" s="3"/>
      <c r="C80" s="3"/>
      <c r="D80" s="47"/>
      <c r="E80" s="3"/>
      <c r="G80" s="506"/>
      <c r="H80" s="490"/>
      <c r="I80" s="1198"/>
      <c r="J80" s="1198"/>
      <c r="K80" s="1198"/>
      <c r="L80" s="1198"/>
      <c r="M80" s="1198"/>
      <c r="N80" s="1198"/>
      <c r="O80" s="1198"/>
    </row>
    <row r="81" spans="1:16">
      <c r="C81" s="507"/>
      <c r="D81" s="506"/>
      <c r="E81" s="506"/>
      <c r="F81" s="506"/>
      <c r="G81" s="503"/>
      <c r="H81" s="503"/>
    </row>
    <row r="82" spans="1:16" ht="20.25">
      <c r="A82" s="447" t="str">
        <f>""&amp;A6&amp;" Worksheet J -  ATRR PROJECTED Calculation for PJM Projects Charged to Benefiting Zones"</f>
        <v>AEP Ohio Transmission Company Worksheet J -  ATRR PROJECTED Calculation for PJM Projects Charged to Benefiting Zones</v>
      </c>
      <c r="B82" s="3"/>
      <c r="C82" s="3"/>
      <c r="D82" s="47"/>
      <c r="E82" s="3"/>
      <c r="F82" s="489"/>
      <c r="G82" s="3"/>
      <c r="H82" s="490"/>
      <c r="K82" s="398"/>
      <c r="L82" s="398"/>
      <c r="M82" s="398"/>
      <c r="N82" s="398" t="str">
        <f>"Page "&amp;SUM(P$8:P82)&amp;" of "</f>
        <v xml:space="preserve">Page 2 of </v>
      </c>
      <c r="O82" s="448">
        <f>COUNT(P$8:P$56653)</f>
        <v>23</v>
      </c>
      <c r="P82" s="508">
        <v>1</v>
      </c>
    </row>
    <row r="83" spans="1:16">
      <c r="B83" s="3"/>
      <c r="C83" s="3"/>
      <c r="D83" s="47"/>
      <c r="E83" s="3"/>
      <c r="F83" s="3"/>
      <c r="G83" s="3"/>
      <c r="H83" s="490"/>
      <c r="I83" s="3"/>
      <c r="J83" s="3"/>
      <c r="K83" s="3"/>
      <c r="L83" s="3"/>
      <c r="M83" s="3"/>
      <c r="N83" s="3"/>
      <c r="O83" s="3"/>
      <c r="P83" s="3"/>
    </row>
    <row r="84" spans="1:16" ht="18">
      <c r="B84" s="449" t="s">
        <v>464</v>
      </c>
      <c r="C84" s="122" t="s">
        <v>85</v>
      </c>
      <c r="D84" s="47"/>
      <c r="E84" s="3"/>
      <c r="F84" s="3"/>
      <c r="G84" s="3"/>
      <c r="H84" s="490"/>
      <c r="I84" s="490"/>
      <c r="J84" s="503"/>
      <c r="K84" s="490"/>
      <c r="L84" s="490"/>
      <c r="M84" s="490"/>
      <c r="N84" s="490"/>
      <c r="O84" s="3"/>
    </row>
    <row r="85" spans="1:16" ht="18.75">
      <c r="B85" s="449"/>
      <c r="C85" s="6"/>
      <c r="D85" s="47"/>
      <c r="E85" s="3"/>
      <c r="F85" s="3"/>
      <c r="G85" s="3"/>
      <c r="H85" s="490"/>
      <c r="I85" s="490"/>
      <c r="J85" s="503"/>
      <c r="K85" s="490"/>
      <c r="L85" s="490"/>
      <c r="M85" s="490"/>
      <c r="N85" s="490"/>
      <c r="O85" s="3"/>
    </row>
    <row r="86" spans="1:16" ht="18.75">
      <c r="B86" s="449"/>
      <c r="C86" s="6" t="s">
        <v>86</v>
      </c>
      <c r="D86" s="47"/>
      <c r="E86" s="3"/>
      <c r="F86" s="3"/>
      <c r="G86" s="3"/>
      <c r="H86" s="490"/>
      <c r="I86" s="490"/>
      <c r="J86" s="503"/>
      <c r="K86" s="490"/>
      <c r="L86" s="490"/>
      <c r="M86" s="490"/>
      <c r="N86" s="490"/>
      <c r="O86" s="3"/>
    </row>
    <row r="87" spans="1:16" ht="15.75" thickBot="1">
      <c r="C87" s="131"/>
      <c r="D87" s="47"/>
      <c r="E87" s="3"/>
      <c r="F87" s="3"/>
      <c r="G87" s="3"/>
      <c r="H87" s="490"/>
      <c r="I87" s="490"/>
      <c r="J87" s="503"/>
      <c r="K87" s="490"/>
      <c r="L87" s="490"/>
      <c r="M87" s="490"/>
      <c r="N87" s="490"/>
      <c r="O87" s="3"/>
    </row>
    <row r="88" spans="1:16" ht="15.75">
      <c r="C88" s="451" t="s">
        <v>87</v>
      </c>
      <c r="D88" s="47"/>
      <c r="E88" s="3"/>
      <c r="F88" s="3"/>
      <c r="G88" s="566"/>
      <c r="H88" s="3" t="s">
        <v>66</v>
      </c>
      <c r="I88" s="3"/>
      <c r="J88" s="3"/>
      <c r="K88" s="509" t="s">
        <v>91</v>
      </c>
      <c r="L88" s="510"/>
      <c r="M88" s="511"/>
      <c r="N88" s="512">
        <f>IF(I94=0,0,VLOOKUP(I94,C101:O160,5))</f>
        <v>1241216.7566804709</v>
      </c>
      <c r="O88" s="3"/>
    </row>
    <row r="89" spans="1:16" ht="15.75">
      <c r="C89" s="451"/>
      <c r="D89" s="47"/>
      <c r="E89" s="3"/>
      <c r="F89" s="3"/>
      <c r="G89" s="3"/>
      <c r="H89" s="513"/>
      <c r="I89" s="513"/>
      <c r="J89" s="514"/>
      <c r="K89" s="515" t="s">
        <v>92</v>
      </c>
      <c r="L89" s="516"/>
      <c r="M89" s="3"/>
      <c r="N89" s="517">
        <f>IF(I94=0,0,VLOOKUP(I94,C101:O160,6))</f>
        <v>1241216.7566804709</v>
      </c>
      <c r="O89" s="3"/>
    </row>
    <row r="90" spans="1:16" ht="13.5" thickBot="1">
      <c r="C90" s="518" t="s">
        <v>88</v>
      </c>
      <c r="D90" s="1194" t="s">
        <v>801</v>
      </c>
      <c r="E90" s="1194"/>
      <c r="F90" s="1194"/>
      <c r="G90" s="1194"/>
      <c r="H90" s="1194"/>
      <c r="I90" s="1194"/>
      <c r="J90" s="503"/>
      <c r="K90" s="519" t="s">
        <v>230</v>
      </c>
      <c r="L90" s="520"/>
      <c r="M90" s="520"/>
      <c r="N90" s="521">
        <f>+N89-N88</f>
        <v>0</v>
      </c>
      <c r="O90" s="3"/>
    </row>
    <row r="91" spans="1:16">
      <c r="C91" s="522"/>
      <c r="D91" s="523"/>
      <c r="E91" s="506"/>
      <c r="F91" s="506"/>
      <c r="G91" s="524"/>
      <c r="H91" s="490"/>
      <c r="I91" s="490"/>
      <c r="J91" s="503"/>
      <c r="K91" s="490"/>
      <c r="L91" s="490"/>
      <c r="M91" s="490"/>
      <c r="N91" s="490"/>
      <c r="O91" s="3"/>
    </row>
    <row r="92" spans="1:16" ht="13.5" thickBot="1">
      <c r="C92" s="522"/>
      <c r="D92" s="3"/>
      <c r="E92" s="524"/>
      <c r="F92" s="524"/>
      <c r="G92" s="524"/>
      <c r="H92" s="524"/>
      <c r="I92" s="524"/>
      <c r="J92" s="524"/>
      <c r="K92" s="524"/>
      <c r="L92" s="524"/>
      <c r="M92" s="524"/>
      <c r="N92" s="524"/>
      <c r="O92" s="3"/>
    </row>
    <row r="93" spans="1:16" ht="13.5" thickBot="1">
      <c r="C93" s="525" t="s">
        <v>89</v>
      </c>
      <c r="D93" s="526"/>
      <c r="E93" s="526"/>
      <c r="F93" s="526"/>
      <c r="G93" s="526"/>
      <c r="H93" s="526"/>
      <c r="I93" s="527"/>
      <c r="K93" s="3"/>
      <c r="L93" s="3"/>
      <c r="M93" s="3"/>
      <c r="N93" s="3"/>
      <c r="O93" s="3"/>
    </row>
    <row r="94" spans="1:16" ht="15">
      <c r="C94" s="528" t="s">
        <v>67</v>
      </c>
      <c r="D94" s="956">
        <v>10402068.27</v>
      </c>
      <c r="E94" s="3" t="s">
        <v>68</v>
      </c>
      <c r="G94" s="47"/>
      <c r="H94" s="47"/>
      <c r="I94" s="529">
        <f>$L$26</f>
        <v>2026</v>
      </c>
      <c r="J94" s="70"/>
      <c r="K94" s="1193" t="s">
        <v>239</v>
      </c>
      <c r="L94" s="1193"/>
      <c r="M94" s="1193"/>
      <c r="N94" s="1193"/>
      <c r="O94" s="1193"/>
    </row>
    <row r="95" spans="1:16">
      <c r="C95" s="528" t="s">
        <v>70</v>
      </c>
      <c r="D95" s="957">
        <v>2012</v>
      </c>
      <c r="E95" s="528" t="s">
        <v>71</v>
      </c>
      <c r="F95" s="47"/>
      <c r="H95"/>
      <c r="I95" s="570">
        <f>IF(G88="",0,$F$17)</f>
        <v>0</v>
      </c>
      <c r="J95" s="530"/>
      <c r="K95" s="503" t="s">
        <v>239</v>
      </c>
    </row>
    <row r="96" spans="1:16">
      <c r="C96" s="528" t="s">
        <v>72</v>
      </c>
      <c r="D96" s="958">
        <v>12</v>
      </c>
      <c r="E96" s="528" t="s">
        <v>73</v>
      </c>
      <c r="F96" s="47"/>
      <c r="H96"/>
      <c r="I96" s="531">
        <f>$G$70</f>
        <v>0.14912278949438812</v>
      </c>
      <c r="J96" s="489"/>
      <c r="K96" t="str">
        <f>"          INPUT PROJECTED ARR (WITH &amp; WITHOUT INCENTIVES) FROM EACH PRIOR YEAR"</f>
        <v xml:space="preserve">          INPUT PROJECTED ARR (WITH &amp; WITHOUT INCENTIVES) FROM EACH PRIOR YEAR</v>
      </c>
    </row>
    <row r="97" spans="2:15">
      <c r="C97" s="528" t="s">
        <v>74</v>
      </c>
      <c r="D97" s="532">
        <f>$G$79</f>
        <v>34</v>
      </c>
      <c r="E97" s="528" t="s">
        <v>75</v>
      </c>
      <c r="F97" s="47"/>
      <c r="H97"/>
      <c r="I97" s="531">
        <f>IF(G88="",I96,$G$69)</f>
        <v>0.14912278949438812</v>
      </c>
      <c r="J97" s="489"/>
      <c r="K97" t="s">
        <v>152</v>
      </c>
    </row>
    <row r="98" spans="2:15" ht="13.5" thickBot="1">
      <c r="C98" s="528" t="s">
        <v>76</v>
      </c>
      <c r="D98" s="567" t="s">
        <v>802</v>
      </c>
      <c r="E98" s="533" t="s">
        <v>77</v>
      </c>
      <c r="F98" s="534"/>
      <c r="G98" s="535"/>
      <c r="H98" s="535"/>
      <c r="I98" s="521">
        <f>IF(D94=0,0,D94/D97)</f>
        <v>305943.18441176467</v>
      </c>
      <c r="J98" s="503"/>
      <c r="K98" s="503" t="s">
        <v>158</v>
      </c>
      <c r="L98" s="503"/>
      <c r="M98" s="503"/>
      <c r="N98" s="503"/>
      <c r="O98" s="3"/>
    </row>
    <row r="99" spans="2:15" ht="38.25">
      <c r="B99" s="450"/>
      <c r="C99" s="536" t="s">
        <v>67</v>
      </c>
      <c r="D99" s="537" t="s">
        <v>78</v>
      </c>
      <c r="E99" s="538" t="s">
        <v>79</v>
      </c>
      <c r="F99" s="537" t="s">
        <v>80</v>
      </c>
      <c r="G99" s="538" t="s">
        <v>151</v>
      </c>
      <c r="H99" s="539" t="s">
        <v>151</v>
      </c>
      <c r="I99" s="536" t="s">
        <v>90</v>
      </c>
      <c r="J99" s="540"/>
      <c r="K99" s="538" t="s">
        <v>160</v>
      </c>
      <c r="L99" s="541"/>
      <c r="M99" s="538" t="s">
        <v>160</v>
      </c>
      <c r="N99" s="541"/>
      <c r="O99" s="541"/>
    </row>
    <row r="100" spans="2:15" ht="13.5" thickBot="1">
      <c r="C100" s="542" t="s">
        <v>467</v>
      </c>
      <c r="D100" s="543" t="s">
        <v>468</v>
      </c>
      <c r="E100" s="542" t="s">
        <v>361</v>
      </c>
      <c r="F100" s="543" t="s">
        <v>468</v>
      </c>
      <c r="G100" s="544" t="s">
        <v>93</v>
      </c>
      <c r="H100" s="545" t="s">
        <v>95</v>
      </c>
      <c r="I100" s="542" t="s">
        <v>15</v>
      </c>
      <c r="J100" s="546"/>
      <c r="K100" s="544" t="s">
        <v>82</v>
      </c>
      <c r="L100" s="547"/>
      <c r="M100" s="544" t="s">
        <v>95</v>
      </c>
      <c r="N100" s="547"/>
      <c r="O100" s="547"/>
    </row>
    <row r="101" spans="2:15">
      <c r="C101" s="548">
        <f>IF(D95= "","-",D95)</f>
        <v>2012</v>
      </c>
      <c r="D101" s="506">
        <f>+D94</f>
        <v>10402068.27</v>
      </c>
      <c r="E101" s="549">
        <f>+I98/12*(12-D96)</f>
        <v>0</v>
      </c>
      <c r="F101" s="506">
        <f>+D101-E101</f>
        <v>10402068.27</v>
      </c>
      <c r="G101" s="723">
        <f>+$I$96*((D101+F101)/2)+E101</f>
        <v>1551185.4369334639</v>
      </c>
      <c r="H101" s="724">
        <f>$I$97*((D101+F101)/2)+E101</f>
        <v>1551185.4369334639</v>
      </c>
      <c r="I101" s="552">
        <f>+H101-G101</f>
        <v>0</v>
      </c>
      <c r="J101" s="552"/>
      <c r="K101" s="571">
        <v>747659.6392360396</v>
      </c>
      <c r="L101" s="553"/>
      <c r="M101" s="571">
        <v>747659.6392360396</v>
      </c>
      <c r="N101" s="553"/>
      <c r="O101" s="553"/>
    </row>
    <row r="102" spans="2:15">
      <c r="C102" s="548">
        <f>IF(D95="","-",+C101+1)</f>
        <v>2013</v>
      </c>
      <c r="D102" s="506">
        <f t="shared" ref="D102:D160" si="0">F101</f>
        <v>10402068.27</v>
      </c>
      <c r="E102" s="549">
        <f>IF(D102&gt;$I$98,$I$98,D102)</f>
        <v>305943.18441176467</v>
      </c>
      <c r="F102" s="506">
        <f t="shared" ref="F102:F160" si="1">+D102-E102</f>
        <v>10096125.085588235</v>
      </c>
      <c r="G102" s="554">
        <f t="shared" ref="G102:G160" si="2">+$I$96*((D102+F102)/2)+E102</f>
        <v>1834317.0708020893</v>
      </c>
      <c r="H102" s="555">
        <f t="shared" ref="H102:H160" si="3">$I$97*((D102+F102)/2)+E102</f>
        <v>1834317.0708020893</v>
      </c>
      <c r="I102" s="552">
        <f t="shared" ref="I102:I160" si="4">+H102-G102</f>
        <v>0</v>
      </c>
      <c r="J102" s="552"/>
      <c r="K102" s="975">
        <v>1093780</v>
      </c>
      <c r="L102" s="556"/>
      <c r="M102" s="975">
        <v>1093780</v>
      </c>
      <c r="N102" s="556"/>
      <c r="O102" s="556"/>
    </row>
    <row r="103" spans="2:15">
      <c r="C103" s="548">
        <f>IF(D95="","-",+C102+1)</f>
        <v>2014</v>
      </c>
      <c r="D103" s="506">
        <f t="shared" si="0"/>
        <v>10096125.085588235</v>
      </c>
      <c r="E103" s="549">
        <f t="shared" ref="E103:E160" si="5">IF(D103&gt;$I$98,$I$98,D103)</f>
        <v>305943.18441176467</v>
      </c>
      <c r="F103" s="506">
        <f t="shared" si="1"/>
        <v>9790181.9011764713</v>
      </c>
      <c r="G103" s="554">
        <f t="shared" si="2"/>
        <v>1788693.9697158111</v>
      </c>
      <c r="H103" s="555">
        <f t="shared" si="3"/>
        <v>1788693.9697158111</v>
      </c>
      <c r="I103" s="552">
        <f t="shared" si="4"/>
        <v>0</v>
      </c>
      <c r="J103" s="552"/>
      <c r="K103" s="572">
        <v>1212574</v>
      </c>
      <c r="L103" s="556"/>
      <c r="M103" s="572">
        <v>1212574</v>
      </c>
      <c r="N103" s="556"/>
      <c r="O103" s="556"/>
    </row>
    <row r="104" spans="2:15">
      <c r="C104" s="548">
        <f>IF(D95="","-",+C103+1)</f>
        <v>2015</v>
      </c>
      <c r="D104" s="506">
        <f t="shared" si="0"/>
        <v>9790181.9011764713</v>
      </c>
      <c r="E104" s="549">
        <f t="shared" si="5"/>
        <v>305943.18441176467</v>
      </c>
      <c r="F104" s="506">
        <f t="shared" si="1"/>
        <v>9484238.7167647071</v>
      </c>
      <c r="G104" s="554">
        <f t="shared" si="2"/>
        <v>1743070.8686295329</v>
      </c>
      <c r="H104" s="555">
        <f t="shared" si="3"/>
        <v>1743070.8686295329</v>
      </c>
      <c r="I104" s="552">
        <f t="shared" si="4"/>
        <v>0</v>
      </c>
      <c r="J104" s="552"/>
      <c r="K104" s="572">
        <v>1166857</v>
      </c>
      <c r="L104" s="556"/>
      <c r="M104" s="572">
        <v>1166857</v>
      </c>
      <c r="N104" s="556"/>
      <c r="O104" s="556"/>
    </row>
    <row r="105" spans="2:15">
      <c r="C105" s="548">
        <f>IF(D95="","-",+C104+1)</f>
        <v>2016</v>
      </c>
      <c r="D105" s="506">
        <f t="shared" si="0"/>
        <v>9484238.7167647071</v>
      </c>
      <c r="E105" s="549">
        <f t="shared" si="5"/>
        <v>305943.18441176467</v>
      </c>
      <c r="F105" s="506">
        <f t="shared" si="1"/>
        <v>9178295.532352943</v>
      </c>
      <c r="G105" s="554">
        <f t="shared" si="2"/>
        <v>1697447.7675432547</v>
      </c>
      <c r="H105" s="555">
        <f t="shared" si="3"/>
        <v>1697447.7675432547</v>
      </c>
      <c r="I105" s="552">
        <f t="shared" si="4"/>
        <v>0</v>
      </c>
      <c r="J105" s="552"/>
      <c r="K105" s="572">
        <v>1271115</v>
      </c>
      <c r="L105" s="556"/>
      <c r="M105" s="572">
        <v>1271115</v>
      </c>
      <c r="N105" s="556"/>
      <c r="O105" s="556"/>
    </row>
    <row r="106" spans="2:15">
      <c r="C106" s="548">
        <f>IF(D95="","-",+C105+1)</f>
        <v>2017</v>
      </c>
      <c r="D106" s="506">
        <f t="shared" si="0"/>
        <v>9178295.532352943</v>
      </c>
      <c r="E106" s="549">
        <f t="shared" si="5"/>
        <v>305943.18441176467</v>
      </c>
      <c r="F106" s="506">
        <f t="shared" si="1"/>
        <v>8872352.3479411788</v>
      </c>
      <c r="G106" s="554">
        <f t="shared" si="2"/>
        <v>1651824.6664569764</v>
      </c>
      <c r="H106" s="555">
        <f t="shared" si="3"/>
        <v>1651824.6664569764</v>
      </c>
      <c r="I106" s="552">
        <f t="shared" si="4"/>
        <v>0</v>
      </c>
      <c r="J106" s="552"/>
      <c r="K106" s="572">
        <v>1517047</v>
      </c>
      <c r="L106" s="556"/>
      <c r="M106" s="572">
        <v>1517047</v>
      </c>
      <c r="N106" s="556"/>
      <c r="O106" s="556"/>
    </row>
    <row r="107" spans="2:15">
      <c r="C107" s="974">
        <f>IF(D95="","-",+C106+1)</f>
        <v>2018</v>
      </c>
      <c r="D107" s="506">
        <f t="shared" si="0"/>
        <v>8872352.3479411788</v>
      </c>
      <c r="E107" s="549">
        <f t="shared" si="5"/>
        <v>305943.18441176467</v>
      </c>
      <c r="F107" s="506">
        <f t="shared" si="1"/>
        <v>8566409.1635294147</v>
      </c>
      <c r="G107" s="554">
        <f t="shared" si="2"/>
        <v>1606201.565370698</v>
      </c>
      <c r="H107" s="555">
        <f t="shared" si="3"/>
        <v>1606201.565370698</v>
      </c>
      <c r="I107" s="552">
        <f t="shared" si="4"/>
        <v>0</v>
      </c>
      <c r="J107" s="552"/>
      <c r="K107" s="572">
        <v>1527231</v>
      </c>
      <c r="L107" s="556"/>
      <c r="M107" s="572">
        <v>1527231</v>
      </c>
      <c r="N107" s="556"/>
      <c r="O107" s="556"/>
    </row>
    <row r="108" spans="2:15">
      <c r="C108" s="974">
        <f>IF(D95="","-",+C107+1)</f>
        <v>2019</v>
      </c>
      <c r="D108" s="506">
        <f t="shared" si="0"/>
        <v>8566409.1635294147</v>
      </c>
      <c r="E108" s="549">
        <f t="shared" si="5"/>
        <v>305943.18441176467</v>
      </c>
      <c r="F108" s="506">
        <f t="shared" si="1"/>
        <v>8260465.9791176496</v>
      </c>
      <c r="G108" s="554">
        <f t="shared" si="2"/>
        <v>1560578.4642844198</v>
      </c>
      <c r="H108" s="555">
        <f t="shared" si="3"/>
        <v>1560578.4642844198</v>
      </c>
      <c r="I108" s="552">
        <f t="shared" si="4"/>
        <v>0</v>
      </c>
      <c r="J108" s="552"/>
      <c r="K108" s="572">
        <v>1559916.9071125546</v>
      </c>
      <c r="L108" s="556"/>
      <c r="M108" s="572">
        <v>1559916.9071125546</v>
      </c>
      <c r="N108" s="556"/>
      <c r="O108" s="556"/>
    </row>
    <row r="109" spans="2:15">
      <c r="C109" s="974">
        <f>IF(D95="","-",+C108+1)</f>
        <v>2020</v>
      </c>
      <c r="D109" s="506">
        <f t="shared" si="0"/>
        <v>8260465.9791176496</v>
      </c>
      <c r="E109" s="549">
        <f t="shared" si="5"/>
        <v>305943.18441176467</v>
      </c>
      <c r="F109" s="506">
        <f t="shared" si="1"/>
        <v>7954522.7947058845</v>
      </c>
      <c r="G109" s="554">
        <f t="shared" si="2"/>
        <v>1514955.3631981413</v>
      </c>
      <c r="H109" s="555">
        <f t="shared" si="3"/>
        <v>1514955.3631981413</v>
      </c>
      <c r="I109" s="552">
        <f t="shared" si="4"/>
        <v>0</v>
      </c>
      <c r="J109" s="552"/>
      <c r="K109" s="572">
        <v>1626375.9034871729</v>
      </c>
      <c r="L109" s="556"/>
      <c r="M109" s="572">
        <v>1626375.9034871729</v>
      </c>
      <c r="N109" s="556"/>
      <c r="O109" s="556"/>
    </row>
    <row r="110" spans="2:15">
      <c r="C110" s="974">
        <f>IF(D95="","-",+C109+1)</f>
        <v>2021</v>
      </c>
      <c r="D110" s="506">
        <f t="shared" si="0"/>
        <v>7954522.7947058845</v>
      </c>
      <c r="E110" s="549">
        <f t="shared" si="5"/>
        <v>305943.18441176467</v>
      </c>
      <c r="F110" s="506">
        <f t="shared" si="1"/>
        <v>7648579.6102941195</v>
      </c>
      <c r="G110" s="554">
        <f t="shared" si="2"/>
        <v>1469332.2621118629</v>
      </c>
      <c r="H110" s="555">
        <f t="shared" si="3"/>
        <v>1469332.2621118629</v>
      </c>
      <c r="I110" s="552">
        <f t="shared" si="4"/>
        <v>0</v>
      </c>
      <c r="J110" s="552"/>
      <c r="K110" s="572">
        <v>1457958.8661891653</v>
      </c>
      <c r="L110" s="556"/>
      <c r="M110" s="572">
        <v>1457958.8661891653</v>
      </c>
      <c r="N110" s="556"/>
      <c r="O110" s="556"/>
    </row>
    <row r="111" spans="2:15">
      <c r="C111" s="974">
        <f>IF(D95="","-",+C110+1)</f>
        <v>2022</v>
      </c>
      <c r="D111" s="506">
        <f t="shared" si="0"/>
        <v>7648579.6102941195</v>
      </c>
      <c r="E111" s="549">
        <f t="shared" si="5"/>
        <v>305943.18441176467</v>
      </c>
      <c r="F111" s="506">
        <f t="shared" si="1"/>
        <v>7342636.4258823544</v>
      </c>
      <c r="G111" s="554">
        <f t="shared" si="2"/>
        <v>1423709.1610255844</v>
      </c>
      <c r="H111" s="555">
        <f t="shared" si="3"/>
        <v>1423709.1610255844</v>
      </c>
      <c r="I111" s="552">
        <f t="shared" si="4"/>
        <v>0</v>
      </c>
      <c r="J111" s="552"/>
      <c r="K111" s="572">
        <v>1450434.6830892873</v>
      </c>
      <c r="L111" s="556"/>
      <c r="M111" s="572">
        <v>1450434.6830892873</v>
      </c>
      <c r="N111" s="556"/>
      <c r="O111" s="556"/>
    </row>
    <row r="112" spans="2:15">
      <c r="C112" s="974">
        <f>IF(D95="","-",+C111+1)</f>
        <v>2023</v>
      </c>
      <c r="D112" s="506">
        <f t="shared" si="0"/>
        <v>7342636.4258823544</v>
      </c>
      <c r="E112" s="549">
        <f t="shared" si="5"/>
        <v>305943.18441176467</v>
      </c>
      <c r="F112" s="506">
        <f t="shared" si="1"/>
        <v>7036693.2414705893</v>
      </c>
      <c r="G112" s="554">
        <f t="shared" si="2"/>
        <v>1378086.0599393062</v>
      </c>
      <c r="H112" s="555">
        <f t="shared" si="3"/>
        <v>1378086.0599393062</v>
      </c>
      <c r="I112" s="552">
        <f t="shared" si="4"/>
        <v>0</v>
      </c>
      <c r="J112" s="552"/>
      <c r="K112" s="572">
        <v>1408145.5058295655</v>
      </c>
      <c r="L112" s="556"/>
      <c r="M112" s="572">
        <v>1408145.5058295655</v>
      </c>
      <c r="N112" s="556"/>
      <c r="O112" s="556"/>
    </row>
    <row r="113" spans="3:15">
      <c r="C113" s="548">
        <f>IF(D95="","-",+C112+1)</f>
        <v>2024</v>
      </c>
      <c r="D113" s="506">
        <f t="shared" si="0"/>
        <v>7036693.2414705893</v>
      </c>
      <c r="E113" s="549">
        <f t="shared" si="5"/>
        <v>305943.18441176467</v>
      </c>
      <c r="F113" s="506">
        <f t="shared" si="1"/>
        <v>6730750.0570588242</v>
      </c>
      <c r="G113" s="554">
        <f t="shared" si="2"/>
        <v>1332462.9588530278</v>
      </c>
      <c r="H113" s="555">
        <f t="shared" si="3"/>
        <v>1332462.9588530278</v>
      </c>
      <c r="I113" s="552">
        <f t="shared" si="4"/>
        <v>0</v>
      </c>
      <c r="J113" s="552"/>
      <c r="K113" s="572">
        <v>1342418.2113940571</v>
      </c>
      <c r="L113" s="556"/>
      <c r="M113" s="572">
        <v>1342418.2113940571</v>
      </c>
      <c r="N113" s="557"/>
      <c r="O113" s="556"/>
    </row>
    <row r="114" spans="3:15">
      <c r="C114" s="548">
        <f>IF(D95="","-",+C113+1)</f>
        <v>2025</v>
      </c>
      <c r="D114" s="506">
        <f t="shared" si="0"/>
        <v>6730750.0570588242</v>
      </c>
      <c r="E114" s="549">
        <f t="shared" si="5"/>
        <v>305943.18441176467</v>
      </c>
      <c r="F114" s="506">
        <f t="shared" si="1"/>
        <v>6424806.8726470592</v>
      </c>
      <c r="G114" s="554">
        <f t="shared" si="2"/>
        <v>1286839.8577667493</v>
      </c>
      <c r="H114" s="555">
        <f t="shared" si="3"/>
        <v>1286839.8577667493</v>
      </c>
      <c r="I114" s="552">
        <f t="shared" si="4"/>
        <v>0</v>
      </c>
      <c r="J114" s="552"/>
      <c r="K114" s="572">
        <v>1294163.8861416141</v>
      </c>
      <c r="L114" s="556"/>
      <c r="M114" s="572">
        <v>1294163.8861416141</v>
      </c>
      <c r="N114" s="556"/>
      <c r="O114" s="556"/>
    </row>
    <row r="115" spans="3:15">
      <c r="C115" s="955">
        <f>IF(D95="","-",+C114+1)</f>
        <v>2026</v>
      </c>
      <c r="D115" s="506">
        <f t="shared" si="0"/>
        <v>6424806.8726470592</v>
      </c>
      <c r="E115" s="549">
        <f t="shared" si="5"/>
        <v>305943.18441176467</v>
      </c>
      <c r="F115" s="506">
        <f t="shared" si="1"/>
        <v>6118863.6882352941</v>
      </c>
      <c r="G115" s="554">
        <f t="shared" si="2"/>
        <v>1241216.7566804709</v>
      </c>
      <c r="H115" s="555">
        <f t="shared" si="3"/>
        <v>1241216.7566804709</v>
      </c>
      <c r="I115" s="552">
        <f t="shared" si="4"/>
        <v>0</v>
      </c>
      <c r="J115" s="552"/>
      <c r="K115" s="572"/>
      <c r="L115" s="556"/>
      <c r="M115" s="572"/>
      <c r="N115" s="556"/>
      <c r="O115" s="556"/>
    </row>
    <row r="116" spans="3:15">
      <c r="C116" s="548">
        <f>IF(D95="","-",+C115+1)</f>
        <v>2027</v>
      </c>
      <c r="D116" s="506">
        <f t="shared" si="0"/>
        <v>6118863.6882352941</v>
      </c>
      <c r="E116" s="549">
        <f t="shared" si="5"/>
        <v>305943.18441176467</v>
      </c>
      <c r="F116" s="506">
        <f t="shared" si="1"/>
        <v>5812920.503823529</v>
      </c>
      <c r="G116" s="554">
        <f t="shared" si="2"/>
        <v>1195593.6555941927</v>
      </c>
      <c r="H116" s="555">
        <f t="shared" si="3"/>
        <v>1195593.6555941927</v>
      </c>
      <c r="I116" s="552">
        <f t="shared" si="4"/>
        <v>0</v>
      </c>
      <c r="J116" s="552"/>
      <c r="K116" s="572"/>
      <c r="L116" s="556"/>
      <c r="M116" s="572"/>
      <c r="N116" s="556"/>
      <c r="O116" s="556"/>
    </row>
    <row r="117" spans="3:15">
      <c r="C117" s="548">
        <f>IF(D95="","-",+C116+1)</f>
        <v>2028</v>
      </c>
      <c r="D117" s="506">
        <f t="shared" si="0"/>
        <v>5812920.503823529</v>
      </c>
      <c r="E117" s="549">
        <f t="shared" si="5"/>
        <v>305943.18441176467</v>
      </c>
      <c r="F117" s="506">
        <f t="shared" si="1"/>
        <v>5506977.3194117639</v>
      </c>
      <c r="G117" s="554">
        <f t="shared" si="2"/>
        <v>1149970.554507914</v>
      </c>
      <c r="H117" s="555">
        <f t="shared" si="3"/>
        <v>1149970.554507914</v>
      </c>
      <c r="I117" s="552">
        <f t="shared" si="4"/>
        <v>0</v>
      </c>
      <c r="J117" s="552"/>
      <c r="K117" s="572"/>
      <c r="L117" s="556"/>
      <c r="M117" s="572"/>
      <c r="N117" s="556"/>
      <c r="O117" s="556"/>
    </row>
    <row r="118" spans="3:15">
      <c r="C118" s="548">
        <f>IF(D95="","-",+C117+1)</f>
        <v>2029</v>
      </c>
      <c r="D118" s="506">
        <f t="shared" si="0"/>
        <v>5506977.3194117639</v>
      </c>
      <c r="E118" s="549">
        <f t="shared" si="5"/>
        <v>305943.18441176467</v>
      </c>
      <c r="F118" s="506">
        <f t="shared" si="1"/>
        <v>5201034.1349999988</v>
      </c>
      <c r="G118" s="554">
        <f t="shared" si="2"/>
        <v>1104347.4534216358</v>
      </c>
      <c r="H118" s="555">
        <f t="shared" si="3"/>
        <v>1104347.4534216358</v>
      </c>
      <c r="I118" s="552">
        <f t="shared" si="4"/>
        <v>0</v>
      </c>
      <c r="J118" s="552"/>
      <c r="K118" s="572"/>
      <c r="L118" s="556"/>
      <c r="M118" s="572"/>
      <c r="N118" s="556"/>
      <c r="O118" s="556"/>
    </row>
    <row r="119" spans="3:15">
      <c r="C119" s="548">
        <f>IF(D95="","-",+C118+1)</f>
        <v>2030</v>
      </c>
      <c r="D119" s="506">
        <f t="shared" si="0"/>
        <v>5201034.1349999988</v>
      </c>
      <c r="E119" s="549">
        <f t="shared" si="5"/>
        <v>305943.18441176467</v>
      </c>
      <c r="F119" s="506">
        <f t="shared" si="1"/>
        <v>4895090.9505882338</v>
      </c>
      <c r="G119" s="554">
        <f t="shared" si="2"/>
        <v>1058724.3523353571</v>
      </c>
      <c r="H119" s="555">
        <f t="shared" si="3"/>
        <v>1058724.3523353571</v>
      </c>
      <c r="I119" s="552">
        <f t="shared" si="4"/>
        <v>0</v>
      </c>
      <c r="J119" s="552"/>
      <c r="K119" s="572"/>
      <c r="L119" s="556"/>
      <c r="M119" s="572"/>
      <c r="N119" s="556"/>
      <c r="O119" s="556"/>
    </row>
    <row r="120" spans="3:15">
      <c r="C120" s="548">
        <f>IF(D95="","-",+C119+1)</f>
        <v>2031</v>
      </c>
      <c r="D120" s="506">
        <f t="shared" si="0"/>
        <v>4895090.9505882338</v>
      </c>
      <c r="E120" s="549">
        <f t="shared" si="5"/>
        <v>305943.18441176467</v>
      </c>
      <c r="F120" s="506">
        <f t="shared" si="1"/>
        <v>4589147.7661764687</v>
      </c>
      <c r="G120" s="554">
        <f t="shared" si="2"/>
        <v>1013101.2512490789</v>
      </c>
      <c r="H120" s="555">
        <f t="shared" si="3"/>
        <v>1013101.2512490789</v>
      </c>
      <c r="I120" s="552">
        <f t="shared" si="4"/>
        <v>0</v>
      </c>
      <c r="J120" s="552"/>
      <c r="K120" s="572"/>
      <c r="L120" s="556"/>
      <c r="M120" s="572"/>
      <c r="N120" s="556"/>
      <c r="O120" s="556"/>
    </row>
    <row r="121" spans="3:15">
      <c r="C121" s="548">
        <f>IF(D95="","-",+C120+1)</f>
        <v>2032</v>
      </c>
      <c r="D121" s="506">
        <f t="shared" si="0"/>
        <v>4589147.7661764687</v>
      </c>
      <c r="E121" s="549">
        <f t="shared" si="5"/>
        <v>305943.18441176467</v>
      </c>
      <c r="F121" s="506">
        <f t="shared" si="1"/>
        <v>4283204.5817647036</v>
      </c>
      <c r="G121" s="554">
        <f t="shared" si="2"/>
        <v>967478.15016280045</v>
      </c>
      <c r="H121" s="555">
        <f t="shared" si="3"/>
        <v>967478.15016280045</v>
      </c>
      <c r="I121" s="552">
        <f t="shared" si="4"/>
        <v>0</v>
      </c>
      <c r="J121" s="552"/>
      <c r="K121" s="572"/>
      <c r="L121" s="556"/>
      <c r="M121" s="572"/>
      <c r="N121" s="556"/>
      <c r="O121" s="556"/>
    </row>
    <row r="122" spans="3:15">
      <c r="C122" s="548">
        <f>IF(D95="","-",+C121+1)</f>
        <v>2033</v>
      </c>
      <c r="D122" s="506">
        <f t="shared" si="0"/>
        <v>4283204.5817647036</v>
      </c>
      <c r="E122" s="549">
        <f t="shared" si="5"/>
        <v>305943.18441176467</v>
      </c>
      <c r="F122" s="506">
        <f t="shared" si="1"/>
        <v>3977261.397352939</v>
      </c>
      <c r="G122" s="554">
        <f t="shared" si="2"/>
        <v>921855.04907652223</v>
      </c>
      <c r="H122" s="555">
        <f t="shared" si="3"/>
        <v>921855.04907652223</v>
      </c>
      <c r="I122" s="552">
        <f t="shared" si="4"/>
        <v>0</v>
      </c>
      <c r="J122" s="552"/>
      <c r="K122" s="572"/>
      <c r="L122" s="556"/>
      <c r="M122" s="572"/>
      <c r="N122" s="556"/>
      <c r="O122" s="556"/>
    </row>
    <row r="123" spans="3:15">
      <c r="C123" s="548">
        <f>IF(D95="","-",+C122+1)</f>
        <v>2034</v>
      </c>
      <c r="D123" s="506">
        <f t="shared" si="0"/>
        <v>3977261.397352939</v>
      </c>
      <c r="E123" s="549">
        <f t="shared" si="5"/>
        <v>305943.18441176467</v>
      </c>
      <c r="F123" s="506">
        <f t="shared" si="1"/>
        <v>3671318.2129411744</v>
      </c>
      <c r="G123" s="554">
        <f t="shared" si="2"/>
        <v>876231.94799024379</v>
      </c>
      <c r="H123" s="555">
        <f t="shared" si="3"/>
        <v>876231.94799024379</v>
      </c>
      <c r="I123" s="552">
        <f t="shared" si="4"/>
        <v>0</v>
      </c>
      <c r="J123" s="552"/>
      <c r="K123" s="572"/>
      <c r="L123" s="556"/>
      <c r="M123" s="572"/>
      <c r="N123" s="556"/>
      <c r="O123" s="556"/>
    </row>
    <row r="124" spans="3:15">
      <c r="C124" s="548">
        <f>IF(D95="","-",+C123+1)</f>
        <v>2035</v>
      </c>
      <c r="D124" s="506">
        <f t="shared" si="0"/>
        <v>3671318.2129411744</v>
      </c>
      <c r="E124" s="549">
        <f t="shared" si="5"/>
        <v>305943.18441176467</v>
      </c>
      <c r="F124" s="506">
        <f t="shared" si="1"/>
        <v>3365375.0285294098</v>
      </c>
      <c r="G124" s="554">
        <f t="shared" si="2"/>
        <v>830608.84690396558</v>
      </c>
      <c r="H124" s="555">
        <f t="shared" si="3"/>
        <v>830608.84690396558</v>
      </c>
      <c r="I124" s="552">
        <f t="shared" si="4"/>
        <v>0</v>
      </c>
      <c r="J124" s="552"/>
      <c r="K124" s="572"/>
      <c r="L124" s="556"/>
      <c r="M124" s="572"/>
      <c r="N124" s="556"/>
      <c r="O124" s="556"/>
    </row>
    <row r="125" spans="3:15">
      <c r="C125" s="548">
        <f>IF(D95="","-",+C124+1)</f>
        <v>2036</v>
      </c>
      <c r="D125" s="506">
        <f t="shared" si="0"/>
        <v>3365375.0285294098</v>
      </c>
      <c r="E125" s="549">
        <f t="shared" si="5"/>
        <v>305943.18441176467</v>
      </c>
      <c r="F125" s="506">
        <f t="shared" si="1"/>
        <v>3059431.8441176452</v>
      </c>
      <c r="G125" s="554">
        <f t="shared" si="2"/>
        <v>784985.74581768713</v>
      </c>
      <c r="H125" s="555">
        <f t="shared" si="3"/>
        <v>784985.74581768713</v>
      </c>
      <c r="I125" s="552">
        <f t="shared" si="4"/>
        <v>0</v>
      </c>
      <c r="J125" s="552"/>
      <c r="K125" s="572"/>
      <c r="L125" s="556"/>
      <c r="M125" s="572"/>
      <c r="N125" s="556"/>
      <c r="O125" s="556"/>
    </row>
    <row r="126" spans="3:15">
      <c r="C126" s="548">
        <f>IF(D95="","-",+C125+1)</f>
        <v>2037</v>
      </c>
      <c r="D126" s="506">
        <f t="shared" si="0"/>
        <v>3059431.8441176452</v>
      </c>
      <c r="E126" s="549">
        <f t="shared" si="5"/>
        <v>305943.18441176467</v>
      </c>
      <c r="F126" s="506">
        <f t="shared" si="1"/>
        <v>2753488.6597058806</v>
      </c>
      <c r="G126" s="554">
        <f t="shared" si="2"/>
        <v>739362.6447314088</v>
      </c>
      <c r="H126" s="555">
        <f t="shared" si="3"/>
        <v>739362.6447314088</v>
      </c>
      <c r="I126" s="552">
        <f t="shared" si="4"/>
        <v>0</v>
      </c>
      <c r="J126" s="552"/>
      <c r="K126" s="572"/>
      <c r="L126" s="556"/>
      <c r="M126" s="572"/>
      <c r="N126" s="556"/>
      <c r="O126" s="556"/>
    </row>
    <row r="127" spans="3:15">
      <c r="C127" s="548">
        <f>IF(D95="","-",+C126+1)</f>
        <v>2038</v>
      </c>
      <c r="D127" s="506">
        <f t="shared" si="0"/>
        <v>2753488.6597058806</v>
      </c>
      <c r="E127" s="549">
        <f t="shared" si="5"/>
        <v>305943.18441176467</v>
      </c>
      <c r="F127" s="506">
        <f t="shared" si="1"/>
        <v>2447545.475294116</v>
      </c>
      <c r="G127" s="554">
        <f t="shared" si="2"/>
        <v>693739.54364513035</v>
      </c>
      <c r="H127" s="555">
        <f t="shared" si="3"/>
        <v>693739.54364513035</v>
      </c>
      <c r="I127" s="552">
        <f t="shared" si="4"/>
        <v>0</v>
      </c>
      <c r="J127" s="552"/>
      <c r="K127" s="572"/>
      <c r="L127" s="556"/>
      <c r="M127" s="572"/>
      <c r="N127" s="556"/>
      <c r="O127" s="556"/>
    </row>
    <row r="128" spans="3:15">
      <c r="C128" s="548">
        <f>IF(D95="","-",+C127+1)</f>
        <v>2039</v>
      </c>
      <c r="D128" s="506">
        <f t="shared" si="0"/>
        <v>2447545.475294116</v>
      </c>
      <c r="E128" s="549">
        <f t="shared" si="5"/>
        <v>305943.18441176467</v>
      </c>
      <c r="F128" s="506">
        <f t="shared" si="1"/>
        <v>2141602.2908823513</v>
      </c>
      <c r="G128" s="554">
        <f t="shared" si="2"/>
        <v>648116.44255885202</v>
      </c>
      <c r="H128" s="555">
        <f t="shared" si="3"/>
        <v>648116.44255885202</v>
      </c>
      <c r="I128" s="552">
        <f t="shared" si="4"/>
        <v>0</v>
      </c>
      <c r="J128" s="552"/>
      <c r="K128" s="572"/>
      <c r="L128" s="556"/>
      <c r="M128" s="572"/>
      <c r="N128" s="556"/>
      <c r="O128" s="556"/>
    </row>
    <row r="129" spans="3:15">
      <c r="C129" s="548">
        <f>IF(D95="","-",+C128+1)</f>
        <v>2040</v>
      </c>
      <c r="D129" s="506">
        <f t="shared" si="0"/>
        <v>2141602.2908823513</v>
      </c>
      <c r="E129" s="549">
        <f t="shared" si="5"/>
        <v>305943.18441176467</v>
      </c>
      <c r="F129" s="506">
        <f t="shared" si="1"/>
        <v>1835659.1064705867</v>
      </c>
      <c r="G129" s="550">
        <f t="shared" si="2"/>
        <v>602493.34147257381</v>
      </c>
      <c r="H129" s="555">
        <f t="shared" si="3"/>
        <v>602493.34147257381</v>
      </c>
      <c r="I129" s="552">
        <f t="shared" si="4"/>
        <v>0</v>
      </c>
      <c r="J129" s="552"/>
      <c r="K129" s="572"/>
      <c r="L129" s="556"/>
      <c r="M129" s="572"/>
      <c r="N129" s="556"/>
      <c r="O129" s="556"/>
    </row>
    <row r="130" spans="3:15">
      <c r="C130" s="548">
        <f>IF(D95="","-",+C129+1)</f>
        <v>2041</v>
      </c>
      <c r="D130" s="506">
        <f t="shared" si="0"/>
        <v>1835659.1064705867</v>
      </c>
      <c r="E130" s="549">
        <f t="shared" si="5"/>
        <v>305943.18441176467</v>
      </c>
      <c r="F130" s="506">
        <f t="shared" si="1"/>
        <v>1529715.9220588221</v>
      </c>
      <c r="G130" s="554">
        <f t="shared" si="2"/>
        <v>556870.24038629537</v>
      </c>
      <c r="H130" s="555">
        <f t="shared" si="3"/>
        <v>556870.24038629537</v>
      </c>
      <c r="I130" s="552">
        <f t="shared" si="4"/>
        <v>0</v>
      </c>
      <c r="J130" s="552"/>
      <c r="K130" s="572"/>
      <c r="L130" s="556"/>
      <c r="M130" s="572"/>
      <c r="N130" s="556"/>
      <c r="O130" s="556"/>
    </row>
    <row r="131" spans="3:15">
      <c r="C131" s="548">
        <f>IF(D95="","-",+C130+1)</f>
        <v>2042</v>
      </c>
      <c r="D131" s="506">
        <f t="shared" si="0"/>
        <v>1529715.9220588221</v>
      </c>
      <c r="E131" s="549">
        <f t="shared" si="5"/>
        <v>305943.18441176467</v>
      </c>
      <c r="F131" s="506">
        <f t="shared" si="1"/>
        <v>1223772.7376470575</v>
      </c>
      <c r="G131" s="554">
        <f t="shared" si="2"/>
        <v>511247.13930001704</v>
      </c>
      <c r="H131" s="555">
        <f t="shared" si="3"/>
        <v>511247.13930001704</v>
      </c>
      <c r="I131" s="552">
        <f t="shared" si="4"/>
        <v>0</v>
      </c>
      <c r="J131" s="552"/>
      <c r="K131" s="572"/>
      <c r="L131" s="556"/>
      <c r="M131" s="572"/>
      <c r="N131" s="556"/>
      <c r="O131" s="556"/>
    </row>
    <row r="132" spans="3:15">
      <c r="C132" s="548">
        <f>IF(D95="","-",+C131+1)</f>
        <v>2043</v>
      </c>
      <c r="D132" s="506">
        <f t="shared" si="0"/>
        <v>1223772.7376470575</v>
      </c>
      <c r="E132" s="549">
        <f t="shared" si="5"/>
        <v>305943.18441176467</v>
      </c>
      <c r="F132" s="506">
        <f t="shared" si="1"/>
        <v>917829.5532352929</v>
      </c>
      <c r="G132" s="554">
        <f t="shared" si="2"/>
        <v>465624.03821373871</v>
      </c>
      <c r="H132" s="555">
        <f t="shared" si="3"/>
        <v>465624.03821373871</v>
      </c>
      <c r="I132" s="552">
        <f t="shared" si="4"/>
        <v>0</v>
      </c>
      <c r="J132" s="552"/>
      <c r="K132" s="572"/>
      <c r="L132" s="556"/>
      <c r="M132" s="572"/>
      <c r="N132" s="556"/>
      <c r="O132" s="556"/>
    </row>
    <row r="133" spans="3:15">
      <c r="C133" s="548">
        <f>IF(D95="","-",+C132+1)</f>
        <v>2044</v>
      </c>
      <c r="D133" s="506">
        <f t="shared" si="0"/>
        <v>917829.5532352929</v>
      </c>
      <c r="E133" s="549">
        <f t="shared" si="5"/>
        <v>305943.18441176467</v>
      </c>
      <c r="F133" s="506">
        <f t="shared" si="1"/>
        <v>611886.36882352829</v>
      </c>
      <c r="G133" s="554">
        <f t="shared" si="2"/>
        <v>420000.93712746038</v>
      </c>
      <c r="H133" s="555">
        <f t="shared" si="3"/>
        <v>420000.93712746038</v>
      </c>
      <c r="I133" s="552">
        <f t="shared" si="4"/>
        <v>0</v>
      </c>
      <c r="J133" s="552"/>
      <c r="K133" s="572"/>
      <c r="L133" s="556"/>
      <c r="M133" s="572"/>
      <c r="N133" s="556"/>
      <c r="O133" s="556"/>
    </row>
    <row r="134" spans="3:15">
      <c r="C134" s="548">
        <f>IF(D95="","-",+C133+1)</f>
        <v>2045</v>
      </c>
      <c r="D134" s="506">
        <f t="shared" si="0"/>
        <v>611886.36882352829</v>
      </c>
      <c r="E134" s="549">
        <f t="shared" si="5"/>
        <v>305943.18441176467</v>
      </c>
      <c r="F134" s="506">
        <f t="shared" si="1"/>
        <v>305943.18441176362</v>
      </c>
      <c r="G134" s="554">
        <f t="shared" si="2"/>
        <v>374377.83604118205</v>
      </c>
      <c r="H134" s="555">
        <f t="shared" si="3"/>
        <v>374377.83604118205</v>
      </c>
      <c r="I134" s="552">
        <f t="shared" si="4"/>
        <v>0</v>
      </c>
      <c r="J134" s="552"/>
      <c r="K134" s="572"/>
      <c r="L134" s="556"/>
      <c r="M134" s="572"/>
      <c r="N134" s="556"/>
      <c r="O134" s="556"/>
    </row>
    <row r="135" spans="3:15">
      <c r="C135" s="548">
        <f>IF(D95="","-",+C134+1)</f>
        <v>2046</v>
      </c>
      <c r="D135" s="506">
        <f t="shared" si="0"/>
        <v>305943.18441176362</v>
      </c>
      <c r="E135" s="549">
        <f t="shared" si="5"/>
        <v>305943.18441176362</v>
      </c>
      <c r="F135" s="506">
        <f t="shared" si="1"/>
        <v>0</v>
      </c>
      <c r="G135" s="554">
        <f t="shared" si="2"/>
        <v>328754.73495490273</v>
      </c>
      <c r="H135" s="555">
        <f t="shared" si="3"/>
        <v>328754.73495490273</v>
      </c>
      <c r="I135" s="552">
        <f t="shared" si="4"/>
        <v>0</v>
      </c>
      <c r="J135" s="552"/>
      <c r="K135" s="572"/>
      <c r="L135" s="556"/>
      <c r="M135" s="572"/>
      <c r="N135" s="556"/>
      <c r="O135" s="556"/>
    </row>
    <row r="136" spans="3:15">
      <c r="C136" s="548">
        <f>IF(D95="","-",+C135+1)</f>
        <v>2047</v>
      </c>
      <c r="D136" s="506">
        <f t="shared" si="0"/>
        <v>0</v>
      </c>
      <c r="E136" s="549">
        <f t="shared" si="5"/>
        <v>0</v>
      </c>
      <c r="F136" s="506">
        <f t="shared" si="1"/>
        <v>0</v>
      </c>
      <c r="G136" s="554">
        <f t="shared" si="2"/>
        <v>0</v>
      </c>
      <c r="H136" s="555">
        <f t="shared" si="3"/>
        <v>0</v>
      </c>
      <c r="I136" s="552">
        <f t="shared" si="4"/>
        <v>0</v>
      </c>
      <c r="J136" s="552"/>
      <c r="K136" s="572"/>
      <c r="L136" s="556"/>
      <c r="M136" s="572"/>
      <c r="N136" s="556"/>
      <c r="O136" s="556"/>
    </row>
    <row r="137" spans="3:15">
      <c r="C137" s="548">
        <f>IF(D95="","-",+C136+1)</f>
        <v>2048</v>
      </c>
      <c r="D137" s="506">
        <f t="shared" si="0"/>
        <v>0</v>
      </c>
      <c r="E137" s="549">
        <f t="shared" si="5"/>
        <v>0</v>
      </c>
      <c r="F137" s="506">
        <f t="shared" si="1"/>
        <v>0</v>
      </c>
      <c r="G137" s="554">
        <f t="shared" si="2"/>
        <v>0</v>
      </c>
      <c r="H137" s="555">
        <f t="shared" si="3"/>
        <v>0</v>
      </c>
      <c r="I137" s="552">
        <f t="shared" si="4"/>
        <v>0</v>
      </c>
      <c r="J137" s="552"/>
      <c r="K137" s="572"/>
      <c r="L137" s="556"/>
      <c r="M137" s="572"/>
      <c r="N137" s="556"/>
      <c r="O137" s="556"/>
    </row>
    <row r="138" spans="3:15">
      <c r="C138" s="548">
        <f>IF(D95="","-",+C137+1)</f>
        <v>2049</v>
      </c>
      <c r="D138" s="506">
        <f t="shared" si="0"/>
        <v>0</v>
      </c>
      <c r="E138" s="549">
        <f t="shared" si="5"/>
        <v>0</v>
      </c>
      <c r="F138" s="506">
        <f t="shared" si="1"/>
        <v>0</v>
      </c>
      <c r="G138" s="554">
        <f t="shared" si="2"/>
        <v>0</v>
      </c>
      <c r="H138" s="555">
        <f t="shared" si="3"/>
        <v>0</v>
      </c>
      <c r="I138" s="552">
        <f t="shared" si="4"/>
        <v>0</v>
      </c>
      <c r="J138" s="552"/>
      <c r="K138" s="572"/>
      <c r="L138" s="556"/>
      <c r="M138" s="572"/>
      <c r="N138" s="556"/>
      <c r="O138" s="556"/>
    </row>
    <row r="139" spans="3:15">
      <c r="C139" s="548">
        <f>IF(D95="","-",+C138+1)</f>
        <v>2050</v>
      </c>
      <c r="D139" s="506">
        <f t="shared" si="0"/>
        <v>0</v>
      </c>
      <c r="E139" s="549">
        <f t="shared" si="5"/>
        <v>0</v>
      </c>
      <c r="F139" s="506">
        <f t="shared" si="1"/>
        <v>0</v>
      </c>
      <c r="G139" s="554">
        <f t="shared" si="2"/>
        <v>0</v>
      </c>
      <c r="H139" s="555">
        <f t="shared" si="3"/>
        <v>0</v>
      </c>
      <c r="I139" s="552">
        <f t="shared" si="4"/>
        <v>0</v>
      </c>
      <c r="J139" s="552"/>
      <c r="K139" s="572"/>
      <c r="L139" s="556"/>
      <c r="M139" s="572"/>
      <c r="N139" s="556"/>
      <c r="O139" s="556"/>
    </row>
    <row r="140" spans="3:15">
      <c r="C140" s="548">
        <f>IF(D95="","-",+C139+1)</f>
        <v>2051</v>
      </c>
      <c r="D140" s="506">
        <f t="shared" si="0"/>
        <v>0</v>
      </c>
      <c r="E140" s="549">
        <f t="shared" si="5"/>
        <v>0</v>
      </c>
      <c r="F140" s="506">
        <f t="shared" si="1"/>
        <v>0</v>
      </c>
      <c r="G140" s="554">
        <f t="shared" si="2"/>
        <v>0</v>
      </c>
      <c r="H140" s="555">
        <f t="shared" si="3"/>
        <v>0</v>
      </c>
      <c r="I140" s="552">
        <f t="shared" si="4"/>
        <v>0</v>
      </c>
      <c r="J140" s="552"/>
      <c r="K140" s="572"/>
      <c r="L140" s="556"/>
      <c r="M140" s="572"/>
      <c r="N140" s="556"/>
      <c r="O140" s="556"/>
    </row>
    <row r="141" spans="3:15">
      <c r="C141" s="548">
        <f>IF(D95="","-",+C140+1)</f>
        <v>2052</v>
      </c>
      <c r="D141" s="506">
        <f t="shared" si="0"/>
        <v>0</v>
      </c>
      <c r="E141" s="549">
        <f t="shared" si="5"/>
        <v>0</v>
      </c>
      <c r="F141" s="506">
        <f t="shared" si="1"/>
        <v>0</v>
      </c>
      <c r="G141" s="554">
        <f t="shared" si="2"/>
        <v>0</v>
      </c>
      <c r="H141" s="555">
        <f t="shared" si="3"/>
        <v>0</v>
      </c>
      <c r="I141" s="552">
        <f t="shared" si="4"/>
        <v>0</v>
      </c>
      <c r="J141" s="552"/>
      <c r="K141" s="572"/>
      <c r="L141" s="556"/>
      <c r="M141" s="572"/>
      <c r="N141" s="556"/>
      <c r="O141" s="556"/>
    </row>
    <row r="142" spans="3:15">
      <c r="C142" s="548">
        <f>IF(D95="","-",+C141+1)</f>
        <v>2053</v>
      </c>
      <c r="D142" s="506">
        <f t="shared" si="0"/>
        <v>0</v>
      </c>
      <c r="E142" s="549">
        <f t="shared" si="5"/>
        <v>0</v>
      </c>
      <c r="F142" s="506">
        <f t="shared" si="1"/>
        <v>0</v>
      </c>
      <c r="G142" s="554">
        <f t="shared" si="2"/>
        <v>0</v>
      </c>
      <c r="H142" s="555">
        <f t="shared" si="3"/>
        <v>0</v>
      </c>
      <c r="I142" s="552">
        <f t="shared" si="4"/>
        <v>0</v>
      </c>
      <c r="J142" s="552"/>
      <c r="K142" s="572"/>
      <c r="L142" s="556"/>
      <c r="M142" s="572"/>
      <c r="N142" s="556"/>
      <c r="O142" s="556"/>
    </row>
    <row r="143" spans="3:15">
      <c r="C143" s="548">
        <f>IF(D95="","-",+C142+1)</f>
        <v>2054</v>
      </c>
      <c r="D143" s="506">
        <f t="shared" si="0"/>
        <v>0</v>
      </c>
      <c r="E143" s="549">
        <f t="shared" si="5"/>
        <v>0</v>
      </c>
      <c r="F143" s="506">
        <f t="shared" si="1"/>
        <v>0</v>
      </c>
      <c r="G143" s="554">
        <f t="shared" si="2"/>
        <v>0</v>
      </c>
      <c r="H143" s="555">
        <f t="shared" si="3"/>
        <v>0</v>
      </c>
      <c r="I143" s="552">
        <f t="shared" si="4"/>
        <v>0</v>
      </c>
      <c r="J143" s="552"/>
      <c r="K143" s="572"/>
      <c r="L143" s="556"/>
      <c r="M143" s="572"/>
      <c r="N143" s="556"/>
      <c r="O143" s="556"/>
    </row>
    <row r="144" spans="3:15">
      <c r="C144" s="548">
        <f>IF(D95="","-",+C143+1)</f>
        <v>2055</v>
      </c>
      <c r="D144" s="506">
        <f t="shared" si="0"/>
        <v>0</v>
      </c>
      <c r="E144" s="549">
        <f t="shared" si="5"/>
        <v>0</v>
      </c>
      <c r="F144" s="506">
        <f t="shared" si="1"/>
        <v>0</v>
      </c>
      <c r="G144" s="554">
        <f t="shared" si="2"/>
        <v>0</v>
      </c>
      <c r="H144" s="555">
        <f t="shared" si="3"/>
        <v>0</v>
      </c>
      <c r="I144" s="552">
        <f t="shared" si="4"/>
        <v>0</v>
      </c>
      <c r="J144" s="552"/>
      <c r="K144" s="572"/>
      <c r="L144" s="556"/>
      <c r="M144" s="572"/>
      <c r="N144" s="556"/>
      <c r="O144" s="556"/>
    </row>
    <row r="145" spans="3:15">
      <c r="C145" s="548">
        <f>IF(D95="","-",+C144+1)</f>
        <v>2056</v>
      </c>
      <c r="D145" s="506">
        <f t="shared" si="0"/>
        <v>0</v>
      </c>
      <c r="E145" s="549">
        <f t="shared" si="5"/>
        <v>0</v>
      </c>
      <c r="F145" s="506">
        <f t="shared" si="1"/>
        <v>0</v>
      </c>
      <c r="G145" s="554">
        <f t="shared" si="2"/>
        <v>0</v>
      </c>
      <c r="H145" s="555">
        <f t="shared" si="3"/>
        <v>0</v>
      </c>
      <c r="I145" s="552">
        <f t="shared" si="4"/>
        <v>0</v>
      </c>
      <c r="J145" s="552"/>
      <c r="K145" s="572"/>
      <c r="L145" s="556"/>
      <c r="M145" s="572"/>
      <c r="N145" s="556"/>
      <c r="O145" s="556"/>
    </row>
    <row r="146" spans="3:15">
      <c r="C146" s="548">
        <f>IF(D95="","-",+C145+1)</f>
        <v>2057</v>
      </c>
      <c r="D146" s="506">
        <f t="shared" si="0"/>
        <v>0</v>
      </c>
      <c r="E146" s="549">
        <f t="shared" si="5"/>
        <v>0</v>
      </c>
      <c r="F146" s="506">
        <f t="shared" si="1"/>
        <v>0</v>
      </c>
      <c r="G146" s="554">
        <f t="shared" si="2"/>
        <v>0</v>
      </c>
      <c r="H146" s="555">
        <f t="shared" si="3"/>
        <v>0</v>
      </c>
      <c r="I146" s="552">
        <f t="shared" si="4"/>
        <v>0</v>
      </c>
      <c r="J146" s="552"/>
      <c r="K146" s="572"/>
      <c r="L146" s="556"/>
      <c r="M146" s="572"/>
      <c r="N146" s="556"/>
      <c r="O146" s="556"/>
    </row>
    <row r="147" spans="3:15">
      <c r="C147" s="548">
        <f>IF(D95="","-",+C146+1)</f>
        <v>2058</v>
      </c>
      <c r="D147" s="506">
        <f t="shared" si="0"/>
        <v>0</v>
      </c>
      <c r="E147" s="549">
        <f t="shared" si="5"/>
        <v>0</v>
      </c>
      <c r="F147" s="506">
        <f t="shared" si="1"/>
        <v>0</v>
      </c>
      <c r="G147" s="554">
        <f t="shared" si="2"/>
        <v>0</v>
      </c>
      <c r="H147" s="555">
        <f t="shared" si="3"/>
        <v>0</v>
      </c>
      <c r="I147" s="552">
        <f t="shared" si="4"/>
        <v>0</v>
      </c>
      <c r="J147" s="552"/>
      <c r="K147" s="572"/>
      <c r="L147" s="556"/>
      <c r="M147" s="572"/>
      <c r="N147" s="556"/>
      <c r="O147" s="556"/>
    </row>
    <row r="148" spans="3:15">
      <c r="C148" s="548">
        <f>IF(D95="","-",+C147+1)</f>
        <v>2059</v>
      </c>
      <c r="D148" s="506">
        <f t="shared" si="0"/>
        <v>0</v>
      </c>
      <c r="E148" s="549">
        <f t="shared" si="5"/>
        <v>0</v>
      </c>
      <c r="F148" s="506">
        <f t="shared" si="1"/>
        <v>0</v>
      </c>
      <c r="G148" s="554">
        <f t="shared" si="2"/>
        <v>0</v>
      </c>
      <c r="H148" s="555">
        <f t="shared" si="3"/>
        <v>0</v>
      </c>
      <c r="I148" s="552">
        <f t="shared" si="4"/>
        <v>0</v>
      </c>
      <c r="J148" s="552"/>
      <c r="K148" s="572"/>
      <c r="L148" s="556"/>
      <c r="M148" s="572"/>
      <c r="N148" s="556"/>
      <c r="O148" s="556"/>
    </row>
    <row r="149" spans="3:15">
      <c r="C149" s="548">
        <f>IF(D95="","-",+C148+1)</f>
        <v>2060</v>
      </c>
      <c r="D149" s="506">
        <f t="shared" si="0"/>
        <v>0</v>
      </c>
      <c r="E149" s="549">
        <f t="shared" si="5"/>
        <v>0</v>
      </c>
      <c r="F149" s="506">
        <f t="shared" si="1"/>
        <v>0</v>
      </c>
      <c r="G149" s="554">
        <f t="shared" si="2"/>
        <v>0</v>
      </c>
      <c r="H149" s="555">
        <f t="shared" si="3"/>
        <v>0</v>
      </c>
      <c r="I149" s="552">
        <f t="shared" si="4"/>
        <v>0</v>
      </c>
      <c r="J149" s="552"/>
      <c r="K149" s="572"/>
      <c r="L149" s="556"/>
      <c r="M149" s="572"/>
      <c r="N149" s="556"/>
      <c r="O149" s="556"/>
    </row>
    <row r="150" spans="3:15">
      <c r="C150" s="548">
        <f>IF(D95="","-",+C149+1)</f>
        <v>2061</v>
      </c>
      <c r="D150" s="506">
        <f t="shared" si="0"/>
        <v>0</v>
      </c>
      <c r="E150" s="549">
        <f t="shared" si="5"/>
        <v>0</v>
      </c>
      <c r="F150" s="506">
        <f t="shared" si="1"/>
        <v>0</v>
      </c>
      <c r="G150" s="554">
        <f t="shared" si="2"/>
        <v>0</v>
      </c>
      <c r="H150" s="555">
        <f t="shared" si="3"/>
        <v>0</v>
      </c>
      <c r="I150" s="552">
        <f t="shared" si="4"/>
        <v>0</v>
      </c>
      <c r="J150" s="552"/>
      <c r="K150" s="572"/>
      <c r="L150" s="556"/>
      <c r="M150" s="572"/>
      <c r="N150" s="556"/>
      <c r="O150" s="556"/>
    </row>
    <row r="151" spans="3:15">
      <c r="C151" s="548">
        <f>IF(D95="","-",+C150+1)</f>
        <v>2062</v>
      </c>
      <c r="D151" s="506">
        <f t="shared" si="0"/>
        <v>0</v>
      </c>
      <c r="E151" s="549">
        <f t="shared" si="5"/>
        <v>0</v>
      </c>
      <c r="F151" s="506">
        <f t="shared" si="1"/>
        <v>0</v>
      </c>
      <c r="G151" s="554">
        <f t="shared" si="2"/>
        <v>0</v>
      </c>
      <c r="H151" s="555">
        <f t="shared" si="3"/>
        <v>0</v>
      </c>
      <c r="I151" s="552">
        <f t="shared" si="4"/>
        <v>0</v>
      </c>
      <c r="J151" s="552"/>
      <c r="K151" s="572"/>
      <c r="L151" s="556"/>
      <c r="M151" s="572"/>
      <c r="N151" s="556"/>
      <c r="O151" s="556"/>
    </row>
    <row r="152" spans="3:15">
      <c r="C152" s="548">
        <f>IF(D95="","-",+C151+1)</f>
        <v>2063</v>
      </c>
      <c r="D152" s="506">
        <f t="shared" si="0"/>
        <v>0</v>
      </c>
      <c r="E152" s="549">
        <f t="shared" si="5"/>
        <v>0</v>
      </c>
      <c r="F152" s="506">
        <f t="shared" si="1"/>
        <v>0</v>
      </c>
      <c r="G152" s="554">
        <f t="shared" si="2"/>
        <v>0</v>
      </c>
      <c r="H152" s="555">
        <f t="shared" si="3"/>
        <v>0</v>
      </c>
      <c r="I152" s="552">
        <f t="shared" si="4"/>
        <v>0</v>
      </c>
      <c r="J152" s="552"/>
      <c r="K152" s="572"/>
      <c r="L152" s="556"/>
      <c r="M152" s="572"/>
      <c r="N152" s="556"/>
      <c r="O152" s="556"/>
    </row>
    <row r="153" spans="3:15">
      <c r="C153" s="548">
        <f>IF(D95="","-",+C152+1)</f>
        <v>2064</v>
      </c>
      <c r="D153" s="506">
        <f t="shared" si="0"/>
        <v>0</v>
      </c>
      <c r="E153" s="549">
        <f t="shared" si="5"/>
        <v>0</v>
      </c>
      <c r="F153" s="506">
        <f t="shared" si="1"/>
        <v>0</v>
      </c>
      <c r="G153" s="554">
        <f t="shared" si="2"/>
        <v>0</v>
      </c>
      <c r="H153" s="555">
        <f t="shared" si="3"/>
        <v>0</v>
      </c>
      <c r="I153" s="552">
        <f t="shared" si="4"/>
        <v>0</v>
      </c>
      <c r="J153" s="552"/>
      <c r="K153" s="572"/>
      <c r="L153" s="556"/>
      <c r="M153" s="572"/>
      <c r="N153" s="556"/>
      <c r="O153" s="556"/>
    </row>
    <row r="154" spans="3:15">
      <c r="C154" s="548">
        <f>IF(D95="","-",+C153+1)</f>
        <v>2065</v>
      </c>
      <c r="D154" s="506">
        <f t="shared" si="0"/>
        <v>0</v>
      </c>
      <c r="E154" s="549">
        <f t="shared" si="5"/>
        <v>0</v>
      </c>
      <c r="F154" s="506">
        <f t="shared" si="1"/>
        <v>0</v>
      </c>
      <c r="G154" s="554">
        <f t="shared" si="2"/>
        <v>0</v>
      </c>
      <c r="H154" s="555">
        <f t="shared" si="3"/>
        <v>0</v>
      </c>
      <c r="I154" s="552">
        <f t="shared" si="4"/>
        <v>0</v>
      </c>
      <c r="J154" s="552"/>
      <c r="K154" s="572"/>
      <c r="L154" s="556"/>
      <c r="M154" s="572"/>
      <c r="N154" s="556"/>
      <c r="O154" s="556"/>
    </row>
    <row r="155" spans="3:15">
      <c r="C155" s="548">
        <f>IF(D95="","-",+C154+1)</f>
        <v>2066</v>
      </c>
      <c r="D155" s="506">
        <f t="shared" si="0"/>
        <v>0</v>
      </c>
      <c r="E155" s="549">
        <f t="shared" si="5"/>
        <v>0</v>
      </c>
      <c r="F155" s="506">
        <f t="shared" si="1"/>
        <v>0</v>
      </c>
      <c r="G155" s="554">
        <f t="shared" si="2"/>
        <v>0</v>
      </c>
      <c r="H155" s="555">
        <f t="shared" si="3"/>
        <v>0</v>
      </c>
      <c r="I155" s="552">
        <f t="shared" si="4"/>
        <v>0</v>
      </c>
      <c r="J155" s="552"/>
      <c r="K155" s="572"/>
      <c r="L155" s="556"/>
      <c r="M155" s="572"/>
      <c r="N155" s="556"/>
      <c r="O155" s="556"/>
    </row>
    <row r="156" spans="3:15">
      <c r="C156" s="548">
        <f>IF(D95="","-",+C155+1)</f>
        <v>2067</v>
      </c>
      <c r="D156" s="506">
        <f t="shared" si="0"/>
        <v>0</v>
      </c>
      <c r="E156" s="549">
        <f t="shared" si="5"/>
        <v>0</v>
      </c>
      <c r="F156" s="506">
        <f t="shared" si="1"/>
        <v>0</v>
      </c>
      <c r="G156" s="554">
        <f t="shared" si="2"/>
        <v>0</v>
      </c>
      <c r="H156" s="555">
        <f t="shared" si="3"/>
        <v>0</v>
      </c>
      <c r="I156" s="552">
        <f t="shared" si="4"/>
        <v>0</v>
      </c>
      <c r="J156" s="552"/>
      <c r="K156" s="572"/>
      <c r="L156" s="556"/>
      <c r="M156" s="572"/>
      <c r="N156" s="556"/>
      <c r="O156" s="556"/>
    </row>
    <row r="157" spans="3:15">
      <c r="C157" s="548">
        <f>IF(D95="","-",+C156+1)</f>
        <v>2068</v>
      </c>
      <c r="D157" s="506">
        <f t="shared" si="0"/>
        <v>0</v>
      </c>
      <c r="E157" s="549">
        <f t="shared" si="5"/>
        <v>0</v>
      </c>
      <c r="F157" s="506">
        <f t="shared" si="1"/>
        <v>0</v>
      </c>
      <c r="G157" s="554">
        <f t="shared" si="2"/>
        <v>0</v>
      </c>
      <c r="H157" s="555">
        <f t="shared" si="3"/>
        <v>0</v>
      </c>
      <c r="I157" s="552">
        <f t="shared" si="4"/>
        <v>0</v>
      </c>
      <c r="J157" s="552"/>
      <c r="K157" s="572"/>
      <c r="L157" s="556"/>
      <c r="M157" s="572"/>
      <c r="N157" s="556"/>
      <c r="O157" s="556"/>
    </row>
    <row r="158" spans="3:15">
      <c r="C158" s="548">
        <f>IF(D95="","-",+C157+1)</f>
        <v>2069</v>
      </c>
      <c r="D158" s="506">
        <f t="shared" si="0"/>
        <v>0</v>
      </c>
      <c r="E158" s="549">
        <f t="shared" si="5"/>
        <v>0</v>
      </c>
      <c r="F158" s="506">
        <f t="shared" si="1"/>
        <v>0</v>
      </c>
      <c r="G158" s="554">
        <f t="shared" si="2"/>
        <v>0</v>
      </c>
      <c r="H158" s="555">
        <f t="shared" si="3"/>
        <v>0</v>
      </c>
      <c r="I158" s="552">
        <f t="shared" si="4"/>
        <v>0</v>
      </c>
      <c r="J158" s="552"/>
      <c r="K158" s="572"/>
      <c r="L158" s="556"/>
      <c r="M158" s="572"/>
      <c r="N158" s="556"/>
      <c r="O158" s="556"/>
    </row>
    <row r="159" spans="3:15">
      <c r="C159" s="548">
        <f>IF(D95="","-",+C158+1)</f>
        <v>2070</v>
      </c>
      <c r="D159" s="506">
        <f t="shared" si="0"/>
        <v>0</v>
      </c>
      <c r="E159" s="549">
        <f t="shared" si="5"/>
        <v>0</v>
      </c>
      <c r="F159" s="506">
        <f t="shared" si="1"/>
        <v>0</v>
      </c>
      <c r="G159" s="554">
        <f t="shared" si="2"/>
        <v>0</v>
      </c>
      <c r="H159" s="555">
        <f t="shared" si="3"/>
        <v>0</v>
      </c>
      <c r="I159" s="552">
        <f t="shared" si="4"/>
        <v>0</v>
      </c>
      <c r="J159" s="552"/>
      <c r="K159" s="572"/>
      <c r="L159" s="556"/>
      <c r="M159" s="572"/>
      <c r="N159" s="556"/>
      <c r="O159" s="556"/>
    </row>
    <row r="160" spans="3:15" ht="13.5" thickBot="1">
      <c r="C160" s="558">
        <f>IF(D95="","-",+C159+1)</f>
        <v>2071</v>
      </c>
      <c r="D160" s="559">
        <f t="shared" si="0"/>
        <v>0</v>
      </c>
      <c r="E160" s="560">
        <f t="shared" si="5"/>
        <v>0</v>
      </c>
      <c r="F160" s="559">
        <f t="shared" si="1"/>
        <v>0</v>
      </c>
      <c r="G160" s="561">
        <f t="shared" si="2"/>
        <v>0</v>
      </c>
      <c r="H160" s="561">
        <f t="shared" si="3"/>
        <v>0</v>
      </c>
      <c r="I160" s="562">
        <f t="shared" si="4"/>
        <v>0</v>
      </c>
      <c r="J160" s="552"/>
      <c r="K160" s="573"/>
      <c r="L160" s="563"/>
      <c r="M160" s="573"/>
      <c r="N160" s="563"/>
      <c r="O160" s="563"/>
    </row>
    <row r="161" spans="1:16">
      <c r="C161" s="506" t="s">
        <v>83</v>
      </c>
      <c r="D161" s="503"/>
      <c r="E161" s="503">
        <f>SUM(E101:E160)</f>
        <v>10402068.270000001</v>
      </c>
      <c r="F161" s="503"/>
      <c r="G161" s="503">
        <f>SUM(G101:G160)</f>
        <v>38323406.134802349</v>
      </c>
      <c r="H161" s="503">
        <f>SUM(H101:H160)</f>
        <v>38323406.134802349</v>
      </c>
      <c r="I161" s="503">
        <f>SUM(I101:I160)</f>
        <v>0</v>
      </c>
      <c r="J161" s="503"/>
      <c r="K161" s="503"/>
      <c r="L161" s="503"/>
      <c r="M161" s="503"/>
      <c r="N161" s="503"/>
      <c r="O161" s="3"/>
    </row>
    <row r="162" spans="1:16">
      <c r="D162" s="47"/>
      <c r="E162" s="3"/>
      <c r="F162" s="3"/>
      <c r="G162" s="3"/>
      <c r="H162" s="490"/>
      <c r="I162" s="490"/>
      <c r="J162" s="503"/>
      <c r="K162" s="490"/>
      <c r="L162" s="490"/>
      <c r="M162" s="490"/>
      <c r="N162" s="490"/>
      <c r="O162" s="3"/>
    </row>
    <row r="163" spans="1:16">
      <c r="C163" s="3" t="s">
        <v>13</v>
      </c>
      <c r="D163" s="47"/>
      <c r="E163" s="3"/>
      <c r="F163" s="3"/>
      <c r="G163" s="3"/>
      <c r="H163" s="490"/>
      <c r="I163" s="490"/>
      <c r="J163" s="503"/>
      <c r="K163" s="490"/>
      <c r="L163" s="490"/>
      <c r="M163" s="490"/>
      <c r="N163" s="490"/>
      <c r="O163" s="3"/>
    </row>
    <row r="164" spans="1:16">
      <c r="C164" s="3"/>
      <c r="D164" s="47"/>
      <c r="E164" s="3"/>
      <c r="F164" s="3"/>
      <c r="G164" s="3"/>
      <c r="H164" s="490"/>
      <c r="I164" s="490"/>
      <c r="J164" s="503"/>
      <c r="K164" s="490"/>
      <c r="L164" s="490"/>
      <c r="M164" s="490"/>
      <c r="N164" s="490"/>
      <c r="O164" s="3"/>
    </row>
    <row r="165" spans="1:16">
      <c r="C165" s="518" t="s">
        <v>14</v>
      </c>
      <c r="D165" s="506"/>
      <c r="E165" s="506"/>
      <c r="F165" s="506"/>
      <c r="G165" s="503"/>
      <c r="H165" s="503"/>
      <c r="I165" s="564"/>
      <c r="J165" s="564"/>
      <c r="K165" s="564"/>
      <c r="L165" s="564"/>
      <c r="M165" s="564"/>
      <c r="N165" s="564"/>
      <c r="O165" s="3"/>
    </row>
    <row r="166" spans="1:16">
      <c r="C166" s="507" t="s">
        <v>263</v>
      </c>
      <c r="D166" s="506"/>
      <c r="E166" s="506"/>
      <c r="F166" s="506"/>
      <c r="G166" s="503"/>
      <c r="H166" s="503"/>
      <c r="I166" s="564"/>
      <c r="J166" s="564"/>
      <c r="K166" s="564"/>
      <c r="L166" s="564"/>
      <c r="M166" s="564"/>
      <c r="N166" s="564"/>
      <c r="O166" s="3"/>
    </row>
    <row r="167" spans="1:16">
      <c r="C167" s="507" t="s">
        <v>84</v>
      </c>
      <c r="D167" s="506"/>
      <c r="E167" s="506"/>
      <c r="F167" s="506"/>
      <c r="G167" s="503"/>
      <c r="H167" s="503"/>
      <c r="I167" s="564"/>
      <c r="J167" s="564"/>
      <c r="K167" s="564"/>
      <c r="L167" s="564"/>
      <c r="M167" s="564"/>
      <c r="N167" s="564"/>
      <c r="O167" s="3"/>
    </row>
    <row r="168" spans="1:16">
      <c r="C168" s="507"/>
      <c r="D168" s="506"/>
      <c r="E168" s="506"/>
      <c r="F168" s="506"/>
      <c r="G168" s="503"/>
      <c r="H168" s="503"/>
      <c r="I168" s="564"/>
      <c r="J168" s="564"/>
      <c r="K168" s="564"/>
      <c r="L168" s="564"/>
      <c r="M168" s="564"/>
      <c r="N168" s="564"/>
      <c r="O168" s="3"/>
    </row>
    <row r="169" spans="1:16">
      <c r="C169" s="1200" t="s">
        <v>6</v>
      </c>
      <c r="D169" s="1200"/>
      <c r="E169" s="1200"/>
      <c r="F169" s="1200"/>
      <c r="G169" s="1200"/>
      <c r="H169" s="1200"/>
      <c r="I169" s="1200"/>
      <c r="J169" s="1200"/>
      <c r="K169" s="1200"/>
      <c r="L169" s="1200"/>
      <c r="M169" s="1200"/>
      <c r="N169" s="1200"/>
      <c r="O169" s="1200"/>
    </row>
    <row r="170" spans="1:16">
      <c r="C170" s="1200"/>
      <c r="D170" s="1200"/>
      <c r="E170" s="1200"/>
      <c r="F170" s="1200"/>
      <c r="G170" s="1200"/>
      <c r="H170" s="1200"/>
      <c r="I170" s="1200"/>
      <c r="J170" s="1200"/>
      <c r="K170" s="1200"/>
      <c r="L170" s="1200"/>
      <c r="M170" s="1200"/>
      <c r="N170" s="1200"/>
      <c r="O170" s="1200"/>
    </row>
    <row r="171" spans="1:16">
      <c r="C171" s="507"/>
      <c r="D171" s="506"/>
      <c r="E171" s="506"/>
      <c r="F171" s="506"/>
      <c r="G171" s="503"/>
      <c r="H171" s="503"/>
    </row>
    <row r="172" spans="1:16" ht="20.25">
      <c r="A172" s="447" t="str">
        <f>""&amp;A96&amp;" Worksheet J -  ATRR PROJECTED Calculation for PJM Projects Charged to Benefiting Zones"</f>
        <v xml:space="preserve"> Worksheet J -  ATRR PROJECTED Calculation for PJM Projects Charged to Benefiting Zones</v>
      </c>
      <c r="B172" s="3"/>
      <c r="C172" s="3"/>
      <c r="D172" s="47"/>
      <c r="E172" s="3"/>
      <c r="F172" s="489"/>
      <c r="G172" s="3"/>
      <c r="H172" s="490"/>
      <c r="K172" s="398"/>
      <c r="L172" s="398"/>
      <c r="M172" s="398"/>
      <c r="N172" s="398" t="str">
        <f>"Page "&amp;SUM(P$8:P172)&amp;" of "</f>
        <v xml:space="preserve">Page 3 of </v>
      </c>
      <c r="O172" s="448">
        <f>COUNT(P$8:P$56653)</f>
        <v>23</v>
      </c>
      <c r="P172">
        <v>1</v>
      </c>
    </row>
    <row r="173" spans="1:16">
      <c r="B173" s="3"/>
      <c r="C173" s="3"/>
      <c r="D173" s="47"/>
      <c r="E173" s="3"/>
      <c r="F173" s="3"/>
      <c r="G173" s="3"/>
      <c r="H173" s="490"/>
      <c r="I173" s="3"/>
      <c r="J173" s="3"/>
      <c r="K173" s="3"/>
      <c r="L173" s="3"/>
      <c r="M173" s="3"/>
      <c r="N173" s="3"/>
      <c r="O173" s="3"/>
    </row>
    <row r="174" spans="1:16" ht="18">
      <c r="B174" s="449" t="s">
        <v>464</v>
      </c>
      <c r="C174" s="122" t="s">
        <v>85</v>
      </c>
      <c r="D174" s="47"/>
      <c r="E174" s="3"/>
      <c r="F174" s="3"/>
      <c r="G174" s="3"/>
      <c r="H174" s="490"/>
      <c r="I174" s="490"/>
      <c r="J174" s="503"/>
      <c r="K174" s="490"/>
      <c r="L174" s="490"/>
      <c r="M174" s="490"/>
      <c r="N174" s="490"/>
      <c r="O174" s="3"/>
    </row>
    <row r="175" spans="1:16" ht="18.75">
      <c r="B175" s="449"/>
      <c r="C175" s="6"/>
      <c r="D175" s="47"/>
      <c r="E175" s="3"/>
      <c r="F175" s="3"/>
      <c r="G175" s="3"/>
      <c r="H175" s="490"/>
      <c r="I175" s="490"/>
      <c r="J175" s="503"/>
      <c r="K175" s="490"/>
      <c r="L175" s="490"/>
      <c r="M175" s="490"/>
      <c r="N175" s="490"/>
      <c r="O175" s="3"/>
    </row>
    <row r="176" spans="1:16" ht="18.75">
      <c r="B176" s="449"/>
      <c r="C176" s="6" t="s">
        <v>86</v>
      </c>
      <c r="D176" s="47"/>
      <c r="E176" s="3"/>
      <c r="F176" s="3"/>
      <c r="G176" s="3"/>
      <c r="H176" s="490"/>
      <c r="I176" s="490"/>
      <c r="J176" s="503"/>
      <c r="K176" s="490"/>
      <c r="L176" s="490"/>
      <c r="M176" s="490"/>
      <c r="N176" s="490"/>
      <c r="O176" s="3"/>
    </row>
    <row r="177" spans="2:15" ht="15.75" thickBot="1">
      <c r="C177" s="131"/>
      <c r="D177" s="47"/>
      <c r="E177" s="3"/>
      <c r="F177" s="3"/>
      <c r="G177" s="3"/>
      <c r="H177" s="490"/>
      <c r="I177" s="490"/>
      <c r="J177" s="503"/>
      <c r="K177" s="490"/>
      <c r="L177" s="490"/>
      <c r="M177" s="490"/>
      <c r="N177" s="490"/>
      <c r="O177" s="3"/>
    </row>
    <row r="178" spans="2:15" ht="15.75">
      <c r="C178" s="451" t="s">
        <v>87</v>
      </c>
      <c r="D178" s="47"/>
      <c r="E178" s="3"/>
      <c r="F178" s="3"/>
      <c r="G178" s="566"/>
      <c r="H178" s="3" t="s">
        <v>66</v>
      </c>
      <c r="I178" s="3"/>
      <c r="J178" s="3"/>
      <c r="K178" s="509" t="s">
        <v>91</v>
      </c>
      <c r="L178" s="510"/>
      <c r="M178" s="511"/>
      <c r="N178" s="512">
        <f>IF(I184=0,0,VLOOKUP(I184,C191:O250,5))</f>
        <v>399285.91109698685</v>
      </c>
      <c r="O178" s="3"/>
    </row>
    <row r="179" spans="2:15" ht="15.75">
      <c r="C179" s="451"/>
      <c r="D179" s="47"/>
      <c r="E179" s="3"/>
      <c r="F179" s="3"/>
      <c r="G179" s="3"/>
      <c r="H179" s="513"/>
      <c r="I179" s="513"/>
      <c r="J179" s="514"/>
      <c r="K179" s="515" t="s">
        <v>92</v>
      </c>
      <c r="L179" s="516"/>
      <c r="M179" s="3"/>
      <c r="N179" s="517">
        <f>IF(I184=0,0,VLOOKUP(I184,C191:O250,6))</f>
        <v>399285.91109698685</v>
      </c>
      <c r="O179" s="3"/>
    </row>
    <row r="180" spans="2:15" ht="13.5" thickBot="1">
      <c r="C180" s="518" t="s">
        <v>88</v>
      </c>
      <c r="D180" s="1194" t="s">
        <v>803</v>
      </c>
      <c r="E180" s="1194"/>
      <c r="F180" s="1194"/>
      <c r="G180" s="1194"/>
      <c r="H180" s="1194"/>
      <c r="I180" s="1194"/>
      <c r="J180" s="503"/>
      <c r="K180" s="519" t="s">
        <v>230</v>
      </c>
      <c r="L180" s="520"/>
      <c r="M180" s="520"/>
      <c r="N180" s="521">
        <f>+N179-N178</f>
        <v>0</v>
      </c>
      <c r="O180" s="3"/>
    </row>
    <row r="181" spans="2:15">
      <c r="C181" s="522"/>
      <c r="D181" s="523"/>
      <c r="E181" s="506"/>
      <c r="F181" s="506"/>
      <c r="G181" s="524"/>
      <c r="H181" s="490"/>
      <c r="I181" s="490"/>
      <c r="J181" s="503"/>
      <c r="K181" s="490"/>
      <c r="L181" s="490"/>
      <c r="M181" s="490"/>
      <c r="N181" s="490"/>
      <c r="O181" s="3"/>
    </row>
    <row r="182" spans="2:15" ht="13.5" thickBot="1">
      <c r="C182" s="522"/>
      <c r="D182" s="3"/>
      <c r="E182" s="524"/>
      <c r="F182" s="524"/>
      <c r="G182" s="524"/>
      <c r="H182" s="524"/>
      <c r="I182" s="524"/>
      <c r="J182" s="524"/>
      <c r="K182" s="524"/>
      <c r="L182" s="524"/>
      <c r="M182" s="524"/>
      <c r="N182" s="524"/>
      <c r="O182" s="3"/>
    </row>
    <row r="183" spans="2:15" ht="13.5" thickBot="1">
      <c r="C183" s="525" t="s">
        <v>89</v>
      </c>
      <c r="D183" s="526"/>
      <c r="E183" s="526"/>
      <c r="F183" s="526"/>
      <c r="G183" s="526"/>
      <c r="H183" s="526"/>
      <c r="I183" s="527"/>
      <c r="K183" s="3"/>
      <c r="L183" s="3"/>
      <c r="M183" s="3"/>
      <c r="N183" s="3"/>
      <c r="O183" s="3"/>
    </row>
    <row r="184" spans="2:15" ht="15">
      <c r="C184" s="528" t="s">
        <v>67</v>
      </c>
      <c r="D184" s="568">
        <v>3473922.17</v>
      </c>
      <c r="E184" s="3" t="s">
        <v>68</v>
      </c>
      <c r="G184" s="47"/>
      <c r="H184" s="47"/>
      <c r="I184" s="529">
        <f>$L$26</f>
        <v>2026</v>
      </c>
      <c r="J184" s="70"/>
      <c r="K184" s="1193" t="s">
        <v>239</v>
      </c>
      <c r="L184" s="1193"/>
      <c r="M184" s="1193"/>
      <c r="N184" s="1193"/>
      <c r="O184" s="1193"/>
    </row>
    <row r="185" spans="2:15">
      <c r="C185" s="528" t="s">
        <v>70</v>
      </c>
      <c r="D185" s="569">
        <v>2011</v>
      </c>
      <c r="E185" s="528" t="s">
        <v>71</v>
      </c>
      <c r="F185" s="47"/>
      <c r="H185"/>
      <c r="I185" s="570">
        <f>IF(G178="",0,$F$17)</f>
        <v>0</v>
      </c>
      <c r="J185" s="530"/>
      <c r="K185" s="503" t="s">
        <v>239</v>
      </c>
    </row>
    <row r="186" spans="2:15">
      <c r="C186" s="528" t="s">
        <v>72</v>
      </c>
      <c r="D186" s="568">
        <v>12</v>
      </c>
      <c r="E186" s="528" t="s">
        <v>73</v>
      </c>
      <c r="F186" s="47"/>
      <c r="H186"/>
      <c r="I186" s="531">
        <f>$G$70</f>
        <v>0.14912278949438812</v>
      </c>
      <c r="J186" s="489"/>
      <c r="K186" t="str">
        <f>"          INPUT PROJECTED ARR (WITH &amp; WITHOUT INCENTIVES) FROM EACH PRIOR YEAR"</f>
        <v xml:space="preserve">          INPUT PROJECTED ARR (WITH &amp; WITHOUT INCENTIVES) FROM EACH PRIOR YEAR</v>
      </c>
    </row>
    <row r="187" spans="2:15">
      <c r="C187" s="528" t="s">
        <v>74</v>
      </c>
      <c r="D187" s="532">
        <f>$G$79</f>
        <v>34</v>
      </c>
      <c r="E187" s="528" t="s">
        <v>75</v>
      </c>
      <c r="F187" s="47"/>
      <c r="H187"/>
      <c r="I187" s="531">
        <f>IF(G178="",I186,$G$69)</f>
        <v>0.14912278949438812</v>
      </c>
      <c r="J187" s="489"/>
      <c r="K187" t="s">
        <v>152</v>
      </c>
    </row>
    <row r="188" spans="2:15" ht="13.5" thickBot="1">
      <c r="C188" s="528" t="s">
        <v>76</v>
      </c>
      <c r="D188" s="567" t="s">
        <v>802</v>
      </c>
      <c r="E188" s="533" t="s">
        <v>77</v>
      </c>
      <c r="F188" s="534"/>
      <c r="G188" s="535"/>
      <c r="H188" s="535"/>
      <c r="I188" s="521">
        <f>IF(D184=0,0,D184/D187)</f>
        <v>102174.18147058823</v>
      </c>
      <c r="J188" s="503"/>
      <c r="K188" s="503" t="s">
        <v>158</v>
      </c>
      <c r="L188" s="503"/>
      <c r="M188" s="503"/>
      <c r="N188" s="503"/>
      <c r="O188" s="3"/>
    </row>
    <row r="189" spans="2:15" ht="38.25">
      <c r="B189" s="450"/>
      <c r="C189" s="536" t="s">
        <v>67</v>
      </c>
      <c r="D189" s="537" t="s">
        <v>78</v>
      </c>
      <c r="E189" s="538" t="s">
        <v>79</v>
      </c>
      <c r="F189" s="537" t="s">
        <v>80</v>
      </c>
      <c r="G189" s="538" t="s">
        <v>151</v>
      </c>
      <c r="H189" s="539" t="s">
        <v>151</v>
      </c>
      <c r="I189" s="536" t="s">
        <v>90</v>
      </c>
      <c r="J189" s="540"/>
      <c r="K189" s="538" t="s">
        <v>160</v>
      </c>
      <c r="L189" s="541"/>
      <c r="M189" s="538" t="s">
        <v>160</v>
      </c>
      <c r="N189" s="541"/>
      <c r="O189" s="541"/>
    </row>
    <row r="190" spans="2:15" ht="13.5" thickBot="1">
      <c r="C190" s="542" t="s">
        <v>467</v>
      </c>
      <c r="D190" s="543" t="s">
        <v>468</v>
      </c>
      <c r="E190" s="542" t="s">
        <v>361</v>
      </c>
      <c r="F190" s="543" t="s">
        <v>468</v>
      </c>
      <c r="G190" s="544" t="s">
        <v>93</v>
      </c>
      <c r="H190" s="545" t="s">
        <v>95</v>
      </c>
      <c r="I190" s="542" t="s">
        <v>15</v>
      </c>
      <c r="J190" s="546"/>
      <c r="K190" s="544" t="s">
        <v>82</v>
      </c>
      <c r="L190" s="547"/>
      <c r="M190" s="544" t="s">
        <v>95</v>
      </c>
      <c r="N190" s="547"/>
      <c r="O190" s="547"/>
    </row>
    <row r="191" spans="2:15">
      <c r="C191" s="548">
        <f>IF(D185= "","-",D185)</f>
        <v>2011</v>
      </c>
      <c r="D191" s="506">
        <f>+D184</f>
        <v>3473922.17</v>
      </c>
      <c r="E191" s="549">
        <f>+I188/12*(12-D186)</f>
        <v>0</v>
      </c>
      <c r="F191" s="506">
        <f>+D191-E191</f>
        <v>3473922.17</v>
      </c>
      <c r="G191" s="723">
        <f>+$I$96*((D191+F191)/2)+E191</f>
        <v>518040.96447679796</v>
      </c>
      <c r="H191" s="724">
        <f>$I$97*((D191+F191)/2)+E191</f>
        <v>518040.96447679796</v>
      </c>
      <c r="I191" s="552">
        <f>+H191-G191</f>
        <v>0</v>
      </c>
      <c r="J191" s="552"/>
      <c r="K191" s="571"/>
      <c r="L191" s="553"/>
      <c r="M191" s="571"/>
      <c r="N191" s="553"/>
      <c r="O191" s="553"/>
    </row>
    <row r="192" spans="2:15">
      <c r="C192" s="548">
        <f>IF(D185="","-",+C191+1)</f>
        <v>2012</v>
      </c>
      <c r="D192" s="506">
        <f t="shared" ref="D192:D250" si="6">F191</f>
        <v>3473922.17</v>
      </c>
      <c r="E192" s="549">
        <f>IF(D192&gt;$I$188,$I$188,D192)</f>
        <v>102174.18147058823</v>
      </c>
      <c r="F192" s="506">
        <f t="shared" ref="F192:F250" si="7">+D192-E192</f>
        <v>3371747.9885294116</v>
      </c>
      <c r="G192" s="554">
        <f t="shared" ref="G192:G250" si="8">+$I$96*((D192+F192)/2)+E192</f>
        <v>612596.8964697863</v>
      </c>
      <c r="H192" s="555">
        <f t="shared" ref="H192:H250" si="9">$I$97*((D192+F192)/2)+E192</f>
        <v>612596.8964697863</v>
      </c>
      <c r="I192" s="552">
        <f t="shared" ref="I192:I250" si="10">+H192-G192</f>
        <v>0</v>
      </c>
      <c r="J192" s="552"/>
      <c r="K192" s="572">
        <v>386386</v>
      </c>
      <c r="L192" s="556"/>
      <c r="M192" s="572">
        <v>386386</v>
      </c>
      <c r="N192" s="556"/>
      <c r="O192" s="556"/>
    </row>
    <row r="193" spans="3:15">
      <c r="C193" s="548">
        <f>IF(D185="","-",+C192+1)</f>
        <v>2013</v>
      </c>
      <c r="D193" s="506">
        <f t="shared" si="6"/>
        <v>3371747.9885294116</v>
      </c>
      <c r="E193" s="549">
        <f t="shared" ref="E193:E250" si="11">IF(D193&gt;$I$188,$I$188,D193)</f>
        <v>102174.18147058823</v>
      </c>
      <c r="F193" s="506">
        <f t="shared" si="7"/>
        <v>3269573.8070588233</v>
      </c>
      <c r="G193" s="554">
        <f t="shared" si="8"/>
        <v>597360.39751458622</v>
      </c>
      <c r="H193" s="555">
        <f t="shared" si="9"/>
        <v>597360.39751458622</v>
      </c>
      <c r="I193" s="552">
        <f t="shared" si="10"/>
        <v>0</v>
      </c>
      <c r="J193" s="552"/>
      <c r="K193" s="572">
        <v>410711</v>
      </c>
      <c r="L193" s="556"/>
      <c r="M193" s="572">
        <v>410711</v>
      </c>
      <c r="N193" s="556"/>
      <c r="O193" s="556"/>
    </row>
    <row r="194" spans="3:15">
      <c r="C194" s="548">
        <f>IF(D185="","-",+C193+1)</f>
        <v>2014</v>
      </c>
      <c r="D194" s="506">
        <f t="shared" si="6"/>
        <v>3269573.8070588233</v>
      </c>
      <c r="E194" s="549">
        <f t="shared" si="11"/>
        <v>102174.18147058823</v>
      </c>
      <c r="F194" s="506">
        <f t="shared" si="7"/>
        <v>3167399.625588235</v>
      </c>
      <c r="G194" s="554">
        <f t="shared" si="8"/>
        <v>582123.89855938638</v>
      </c>
      <c r="H194" s="555">
        <f t="shared" si="9"/>
        <v>582123.89855938638</v>
      </c>
      <c r="I194" s="552">
        <f t="shared" si="10"/>
        <v>0</v>
      </c>
      <c r="J194" s="552"/>
      <c r="K194" s="572">
        <v>453040</v>
      </c>
      <c r="L194" s="556"/>
      <c r="M194" s="572">
        <v>453040</v>
      </c>
      <c r="N194" s="556"/>
      <c r="O194" s="556"/>
    </row>
    <row r="195" spans="3:15">
      <c r="C195" s="548">
        <f>IF(D185="","-",+C194+1)</f>
        <v>2015</v>
      </c>
      <c r="D195" s="506">
        <f t="shared" si="6"/>
        <v>3167399.625588235</v>
      </c>
      <c r="E195" s="549">
        <f t="shared" si="11"/>
        <v>102174.18147058823</v>
      </c>
      <c r="F195" s="506">
        <f t="shared" si="7"/>
        <v>3065225.4441176467</v>
      </c>
      <c r="G195" s="554">
        <f t="shared" si="8"/>
        <v>566887.3996041863</v>
      </c>
      <c r="H195" s="555">
        <f t="shared" si="9"/>
        <v>566887.3996041863</v>
      </c>
      <c r="I195" s="552">
        <f t="shared" si="10"/>
        <v>0</v>
      </c>
      <c r="J195" s="552"/>
      <c r="K195" s="572">
        <v>435575</v>
      </c>
      <c r="L195" s="556"/>
      <c r="M195" s="572">
        <v>435575</v>
      </c>
      <c r="N195" s="556"/>
      <c r="O195" s="556"/>
    </row>
    <row r="196" spans="3:15">
      <c r="C196" s="548">
        <f>IF(D185="","-",+C195+1)</f>
        <v>2016</v>
      </c>
      <c r="D196" s="506">
        <f t="shared" si="6"/>
        <v>3065225.4441176467</v>
      </c>
      <c r="E196" s="549">
        <f t="shared" si="11"/>
        <v>102174.18147058823</v>
      </c>
      <c r="F196" s="506">
        <f t="shared" si="7"/>
        <v>2963051.2626470583</v>
      </c>
      <c r="G196" s="554">
        <f t="shared" si="8"/>
        <v>551650.90064898646</v>
      </c>
      <c r="H196" s="555">
        <f t="shared" si="9"/>
        <v>551650.90064898646</v>
      </c>
      <c r="I196" s="552">
        <f t="shared" si="10"/>
        <v>0</v>
      </c>
      <c r="J196" s="552"/>
      <c r="K196" s="572">
        <v>473027</v>
      </c>
      <c r="L196" s="556"/>
      <c r="M196" s="572">
        <v>473027</v>
      </c>
      <c r="N196" s="556"/>
      <c r="O196" s="556"/>
    </row>
    <row r="197" spans="3:15">
      <c r="C197" s="548">
        <f>IF(D185="","-",+C196+1)</f>
        <v>2017</v>
      </c>
      <c r="D197" s="506">
        <f t="shared" si="6"/>
        <v>2963051.2626470583</v>
      </c>
      <c r="E197" s="549">
        <f t="shared" si="11"/>
        <v>102174.18147058823</v>
      </c>
      <c r="F197" s="506">
        <f t="shared" si="7"/>
        <v>2860877.08117647</v>
      </c>
      <c r="G197" s="554">
        <f t="shared" si="8"/>
        <v>536414.40169378638</v>
      </c>
      <c r="H197" s="555">
        <f t="shared" si="9"/>
        <v>536414.40169378638</v>
      </c>
      <c r="I197" s="552">
        <f t="shared" si="10"/>
        <v>0</v>
      </c>
      <c r="J197" s="552"/>
      <c r="K197" s="572">
        <v>562920</v>
      </c>
      <c r="L197" s="556"/>
      <c r="M197" s="572">
        <v>562920</v>
      </c>
      <c r="N197" s="556"/>
      <c r="O197" s="556"/>
    </row>
    <row r="198" spans="3:15">
      <c r="C198" s="974">
        <f>IF(D185="","-",+C197+1)</f>
        <v>2018</v>
      </c>
      <c r="D198" s="506">
        <f t="shared" si="6"/>
        <v>2860877.08117647</v>
      </c>
      <c r="E198" s="549">
        <f t="shared" si="11"/>
        <v>102174.18147058823</v>
      </c>
      <c r="F198" s="506">
        <f t="shared" si="7"/>
        <v>2758702.8997058817</v>
      </c>
      <c r="G198" s="554">
        <f t="shared" si="8"/>
        <v>521177.90273858653</v>
      </c>
      <c r="H198" s="555">
        <f t="shared" si="9"/>
        <v>521177.90273858653</v>
      </c>
      <c r="I198" s="552">
        <f t="shared" si="10"/>
        <v>0</v>
      </c>
      <c r="J198" s="552"/>
      <c r="K198" s="572">
        <v>499743</v>
      </c>
      <c r="L198" s="556"/>
      <c r="M198" s="572">
        <v>499743</v>
      </c>
      <c r="N198" s="556"/>
      <c r="O198" s="556"/>
    </row>
    <row r="199" spans="3:15">
      <c r="C199" s="974">
        <f>IF(D185="","-",+C198+1)</f>
        <v>2019</v>
      </c>
      <c r="D199" s="506">
        <f t="shared" si="6"/>
        <v>2758702.8997058817</v>
      </c>
      <c r="E199" s="549">
        <f t="shared" si="11"/>
        <v>102174.18147058823</v>
      </c>
      <c r="F199" s="506">
        <f t="shared" si="7"/>
        <v>2656528.7182352934</v>
      </c>
      <c r="G199" s="554">
        <f t="shared" si="8"/>
        <v>505941.40378338657</v>
      </c>
      <c r="H199" s="555">
        <f t="shared" si="9"/>
        <v>505941.40378338657</v>
      </c>
      <c r="I199" s="552">
        <f t="shared" si="10"/>
        <v>0</v>
      </c>
      <c r="J199" s="552"/>
      <c r="K199" s="572">
        <v>509430.75444224867</v>
      </c>
      <c r="L199" s="556"/>
      <c r="M199" s="572">
        <v>509430.75444224867</v>
      </c>
      <c r="N199" s="556"/>
      <c r="O199" s="556"/>
    </row>
    <row r="200" spans="3:15">
      <c r="C200" s="974">
        <f>IF(D185="","-",+C199+1)</f>
        <v>2020</v>
      </c>
      <c r="D200" s="506">
        <f t="shared" si="6"/>
        <v>2656528.7182352934</v>
      </c>
      <c r="E200" s="549">
        <f t="shared" si="11"/>
        <v>102174.18147058823</v>
      </c>
      <c r="F200" s="506">
        <f t="shared" si="7"/>
        <v>2554354.5367647051</v>
      </c>
      <c r="G200" s="554">
        <f t="shared" si="8"/>
        <v>490704.90482818661</v>
      </c>
      <c r="H200" s="555">
        <f t="shared" si="9"/>
        <v>490704.90482818661</v>
      </c>
      <c r="I200" s="552">
        <f t="shared" si="10"/>
        <v>0</v>
      </c>
      <c r="J200" s="552"/>
      <c r="K200" s="572">
        <v>529805.83146959567</v>
      </c>
      <c r="L200" s="556"/>
      <c r="M200" s="572">
        <v>529805.83146959567</v>
      </c>
      <c r="N200" s="556"/>
      <c r="O200" s="556"/>
    </row>
    <row r="201" spans="3:15">
      <c r="C201" s="974">
        <f>IF(D185="","-",+C200+1)</f>
        <v>2021</v>
      </c>
      <c r="D201" s="506">
        <f t="shared" si="6"/>
        <v>2554354.5367647051</v>
      </c>
      <c r="E201" s="549">
        <f t="shared" si="11"/>
        <v>102174.18147058823</v>
      </c>
      <c r="F201" s="506">
        <f t="shared" si="7"/>
        <v>2452180.3552941168</v>
      </c>
      <c r="G201" s="554">
        <f t="shared" si="8"/>
        <v>475468.40587298665</v>
      </c>
      <c r="H201" s="555">
        <f t="shared" si="9"/>
        <v>475468.40587298665</v>
      </c>
      <c r="I201" s="552">
        <f t="shared" si="10"/>
        <v>0</v>
      </c>
      <c r="J201" s="552"/>
      <c r="K201" s="572">
        <v>473116.5193442005</v>
      </c>
      <c r="L201" s="556"/>
      <c r="M201" s="572">
        <v>473116.5193442005</v>
      </c>
      <c r="N201" s="556"/>
      <c r="O201" s="556"/>
    </row>
    <row r="202" spans="3:15">
      <c r="C202" s="974">
        <f>IF(D185="","-",+C201+1)</f>
        <v>2022</v>
      </c>
      <c r="D202" s="506">
        <f t="shared" si="6"/>
        <v>2452180.3552941168</v>
      </c>
      <c r="E202" s="549">
        <f t="shared" si="11"/>
        <v>102174.18147058823</v>
      </c>
      <c r="F202" s="506">
        <f t="shared" si="7"/>
        <v>2350006.1738235285</v>
      </c>
      <c r="G202" s="554">
        <f t="shared" si="8"/>
        <v>460231.90691778669</v>
      </c>
      <c r="H202" s="555">
        <f t="shared" si="9"/>
        <v>460231.90691778669</v>
      </c>
      <c r="I202" s="552">
        <f t="shared" si="10"/>
        <v>0</v>
      </c>
      <c r="J202" s="552"/>
      <c r="K202" s="572">
        <v>469756.18941124767</v>
      </c>
      <c r="L202" s="556"/>
      <c r="M202" s="572">
        <v>469756.18941124767</v>
      </c>
      <c r="N202" s="556"/>
      <c r="O202" s="556"/>
    </row>
    <row r="203" spans="3:15">
      <c r="C203" s="974">
        <f>IF(D185="","-",+C202+1)</f>
        <v>2023</v>
      </c>
      <c r="D203" s="506">
        <f t="shared" si="6"/>
        <v>2350006.1738235285</v>
      </c>
      <c r="E203" s="549">
        <f t="shared" si="11"/>
        <v>102174.18147058823</v>
      </c>
      <c r="F203" s="506">
        <f t="shared" si="7"/>
        <v>2247831.9923529401</v>
      </c>
      <c r="G203" s="554">
        <f t="shared" si="8"/>
        <v>444995.40796258673</v>
      </c>
      <c r="H203" s="555">
        <f t="shared" si="9"/>
        <v>444995.40796258673</v>
      </c>
      <c r="I203" s="552">
        <f t="shared" si="10"/>
        <v>0</v>
      </c>
      <c r="J203" s="552"/>
      <c r="K203" s="572">
        <v>455127.19546763896</v>
      </c>
      <c r="L203" s="556"/>
      <c r="M203" s="572">
        <v>455127.19546763896</v>
      </c>
      <c r="N203" s="557"/>
      <c r="O203" s="556"/>
    </row>
    <row r="204" spans="3:15">
      <c r="C204" s="548">
        <f>IF(D185="","-",+C203+1)</f>
        <v>2024</v>
      </c>
      <c r="D204" s="506">
        <f t="shared" si="6"/>
        <v>2247831.9923529401</v>
      </c>
      <c r="E204" s="549">
        <f t="shared" si="11"/>
        <v>102174.18147058823</v>
      </c>
      <c r="F204" s="506">
        <f t="shared" si="7"/>
        <v>2145657.8108823518</v>
      </c>
      <c r="G204" s="554">
        <f t="shared" si="8"/>
        <v>429758.90900738677</v>
      </c>
      <c r="H204" s="555">
        <f t="shared" si="9"/>
        <v>429758.90900738677</v>
      </c>
      <c r="I204" s="552">
        <f t="shared" si="10"/>
        <v>0</v>
      </c>
      <c r="J204" s="552"/>
      <c r="K204" s="572">
        <v>433466.27162541146</v>
      </c>
      <c r="L204" s="556"/>
      <c r="M204" s="572">
        <v>433466.27162541146</v>
      </c>
      <c r="N204" s="556"/>
      <c r="O204" s="556"/>
    </row>
    <row r="205" spans="3:15">
      <c r="C205" s="548">
        <f>IF(D185="","-",+C204+1)</f>
        <v>2025</v>
      </c>
      <c r="D205" s="506">
        <f t="shared" si="6"/>
        <v>2145657.8108823518</v>
      </c>
      <c r="E205" s="549">
        <f t="shared" si="11"/>
        <v>102174.18147058823</v>
      </c>
      <c r="F205" s="506">
        <f t="shared" si="7"/>
        <v>2043483.6294117635</v>
      </c>
      <c r="G205" s="554">
        <f t="shared" si="8"/>
        <v>414522.41005218681</v>
      </c>
      <c r="H205" s="555">
        <f t="shared" si="9"/>
        <v>414522.41005218681</v>
      </c>
      <c r="I205" s="552">
        <f t="shared" si="10"/>
        <v>0</v>
      </c>
      <c r="J205" s="552"/>
      <c r="K205" s="572">
        <v>417407.09912018123</v>
      </c>
      <c r="L205" s="556"/>
      <c r="M205" s="572">
        <v>417407.09912018123</v>
      </c>
      <c r="N205" s="556"/>
      <c r="O205" s="556"/>
    </row>
    <row r="206" spans="3:15">
      <c r="C206" s="955">
        <f>IF(D185="","-",+C205+1)</f>
        <v>2026</v>
      </c>
      <c r="D206" s="506">
        <f t="shared" si="6"/>
        <v>2043483.6294117635</v>
      </c>
      <c r="E206" s="549">
        <f t="shared" si="11"/>
        <v>102174.18147058823</v>
      </c>
      <c r="F206" s="506">
        <f t="shared" si="7"/>
        <v>1941309.4479411752</v>
      </c>
      <c r="G206" s="554">
        <f t="shared" si="8"/>
        <v>399285.91109698685</v>
      </c>
      <c r="H206" s="555">
        <f t="shared" si="9"/>
        <v>399285.91109698685</v>
      </c>
      <c r="I206" s="552">
        <f t="shared" si="10"/>
        <v>0</v>
      </c>
      <c r="J206" s="552"/>
      <c r="K206" s="572"/>
      <c r="L206" s="556"/>
      <c r="M206" s="572"/>
      <c r="N206" s="556"/>
      <c r="O206" s="556"/>
    </row>
    <row r="207" spans="3:15">
      <c r="C207" s="548">
        <f>IF(D185="","-",+C206+1)</f>
        <v>2027</v>
      </c>
      <c r="D207" s="506">
        <f t="shared" si="6"/>
        <v>1941309.4479411752</v>
      </c>
      <c r="E207" s="549">
        <f t="shared" si="11"/>
        <v>102174.18147058823</v>
      </c>
      <c r="F207" s="506">
        <f t="shared" si="7"/>
        <v>1839135.2664705869</v>
      </c>
      <c r="G207" s="554">
        <f t="shared" si="8"/>
        <v>384049.41214178689</v>
      </c>
      <c r="H207" s="555">
        <f t="shared" si="9"/>
        <v>384049.41214178689</v>
      </c>
      <c r="I207" s="552">
        <f t="shared" si="10"/>
        <v>0</v>
      </c>
      <c r="J207" s="552"/>
      <c r="K207" s="572"/>
      <c r="L207" s="556"/>
      <c r="M207" s="572"/>
      <c r="N207" s="556"/>
      <c r="O207" s="556"/>
    </row>
    <row r="208" spans="3:15">
      <c r="C208" s="548">
        <f>IF(D185="","-",+C207+1)</f>
        <v>2028</v>
      </c>
      <c r="D208" s="506">
        <f t="shared" si="6"/>
        <v>1839135.2664705869</v>
      </c>
      <c r="E208" s="549">
        <f t="shared" si="11"/>
        <v>102174.18147058823</v>
      </c>
      <c r="F208" s="506">
        <f t="shared" si="7"/>
        <v>1736961.0849999986</v>
      </c>
      <c r="G208" s="554">
        <f t="shared" si="8"/>
        <v>368812.91318658693</v>
      </c>
      <c r="H208" s="555">
        <f t="shared" si="9"/>
        <v>368812.91318658693</v>
      </c>
      <c r="I208" s="552">
        <f t="shared" si="10"/>
        <v>0</v>
      </c>
      <c r="J208" s="552"/>
      <c r="K208" s="572"/>
      <c r="L208" s="556"/>
      <c r="M208" s="572"/>
      <c r="N208" s="556"/>
      <c r="O208" s="556"/>
    </row>
    <row r="209" spans="3:15">
      <c r="C209" s="548">
        <f>IF(D185="","-",+C208+1)</f>
        <v>2029</v>
      </c>
      <c r="D209" s="506">
        <f t="shared" si="6"/>
        <v>1736961.0849999986</v>
      </c>
      <c r="E209" s="549">
        <f t="shared" si="11"/>
        <v>102174.18147058823</v>
      </c>
      <c r="F209" s="506">
        <f t="shared" si="7"/>
        <v>1634786.9035294103</v>
      </c>
      <c r="G209" s="554">
        <f t="shared" si="8"/>
        <v>353576.41423138703</v>
      </c>
      <c r="H209" s="555">
        <f t="shared" si="9"/>
        <v>353576.41423138703</v>
      </c>
      <c r="I209" s="552">
        <f t="shared" si="10"/>
        <v>0</v>
      </c>
      <c r="J209" s="552"/>
      <c r="K209" s="572"/>
      <c r="L209" s="556"/>
      <c r="M209" s="572"/>
      <c r="N209" s="556"/>
      <c r="O209" s="556"/>
    </row>
    <row r="210" spans="3:15">
      <c r="C210" s="548">
        <f>IF(D185="","-",+C209+1)</f>
        <v>2030</v>
      </c>
      <c r="D210" s="506">
        <f t="shared" si="6"/>
        <v>1634786.9035294103</v>
      </c>
      <c r="E210" s="549">
        <f t="shared" si="11"/>
        <v>102174.18147058823</v>
      </c>
      <c r="F210" s="506">
        <f t="shared" si="7"/>
        <v>1532612.7220588219</v>
      </c>
      <c r="G210" s="554">
        <f t="shared" si="8"/>
        <v>338339.91527618706</v>
      </c>
      <c r="H210" s="555">
        <f t="shared" si="9"/>
        <v>338339.91527618706</v>
      </c>
      <c r="I210" s="552">
        <f t="shared" si="10"/>
        <v>0</v>
      </c>
      <c r="J210" s="552"/>
      <c r="K210" s="572"/>
      <c r="L210" s="556"/>
      <c r="M210" s="572"/>
      <c r="N210" s="556"/>
      <c r="O210" s="556"/>
    </row>
    <row r="211" spans="3:15">
      <c r="C211" s="548">
        <f>IF(D185="","-",+C210+1)</f>
        <v>2031</v>
      </c>
      <c r="D211" s="506">
        <f t="shared" si="6"/>
        <v>1532612.7220588219</v>
      </c>
      <c r="E211" s="549">
        <f t="shared" si="11"/>
        <v>102174.18147058823</v>
      </c>
      <c r="F211" s="506">
        <f t="shared" si="7"/>
        <v>1430438.5405882336</v>
      </c>
      <c r="G211" s="554">
        <f t="shared" si="8"/>
        <v>323103.41632098716</v>
      </c>
      <c r="H211" s="555">
        <f t="shared" si="9"/>
        <v>323103.41632098716</v>
      </c>
      <c r="I211" s="552">
        <f t="shared" si="10"/>
        <v>0</v>
      </c>
      <c r="J211" s="552"/>
      <c r="K211" s="572"/>
      <c r="L211" s="556"/>
      <c r="M211" s="572"/>
      <c r="N211" s="556"/>
      <c r="O211" s="556"/>
    </row>
    <row r="212" spans="3:15">
      <c r="C212" s="548">
        <f>IF(D185="","-",+C211+1)</f>
        <v>2032</v>
      </c>
      <c r="D212" s="506">
        <f t="shared" si="6"/>
        <v>1430438.5405882336</v>
      </c>
      <c r="E212" s="549">
        <f t="shared" si="11"/>
        <v>102174.18147058823</v>
      </c>
      <c r="F212" s="506">
        <f t="shared" si="7"/>
        <v>1328264.3591176453</v>
      </c>
      <c r="G212" s="554">
        <f t="shared" si="8"/>
        <v>307866.9173657872</v>
      </c>
      <c r="H212" s="555">
        <f t="shared" si="9"/>
        <v>307866.9173657872</v>
      </c>
      <c r="I212" s="552">
        <f t="shared" si="10"/>
        <v>0</v>
      </c>
      <c r="J212" s="552"/>
      <c r="K212" s="572"/>
      <c r="L212" s="556"/>
      <c r="M212" s="572"/>
      <c r="N212" s="556"/>
      <c r="O212" s="556"/>
    </row>
    <row r="213" spans="3:15">
      <c r="C213" s="548">
        <f>IF(D185="","-",+C212+1)</f>
        <v>2033</v>
      </c>
      <c r="D213" s="506">
        <f t="shared" si="6"/>
        <v>1328264.3591176453</v>
      </c>
      <c r="E213" s="549">
        <f t="shared" si="11"/>
        <v>102174.18147058823</v>
      </c>
      <c r="F213" s="506">
        <f t="shared" si="7"/>
        <v>1226090.177647057</v>
      </c>
      <c r="G213" s="554">
        <f t="shared" si="8"/>
        <v>292630.41841058724</v>
      </c>
      <c r="H213" s="555">
        <f t="shared" si="9"/>
        <v>292630.41841058724</v>
      </c>
      <c r="I213" s="552">
        <f t="shared" si="10"/>
        <v>0</v>
      </c>
      <c r="J213" s="552"/>
      <c r="K213" s="572"/>
      <c r="L213" s="556"/>
      <c r="M213" s="572"/>
      <c r="N213" s="556"/>
      <c r="O213" s="556"/>
    </row>
    <row r="214" spans="3:15">
      <c r="C214" s="548">
        <f>IF(D185="","-",+C213+1)</f>
        <v>2034</v>
      </c>
      <c r="D214" s="506">
        <f t="shared" si="6"/>
        <v>1226090.177647057</v>
      </c>
      <c r="E214" s="549">
        <f t="shared" si="11"/>
        <v>102174.18147058823</v>
      </c>
      <c r="F214" s="506">
        <f t="shared" si="7"/>
        <v>1123915.9961764687</v>
      </c>
      <c r="G214" s="554">
        <f t="shared" si="8"/>
        <v>277393.91945538728</v>
      </c>
      <c r="H214" s="555">
        <f t="shared" si="9"/>
        <v>277393.91945538728</v>
      </c>
      <c r="I214" s="552">
        <f t="shared" si="10"/>
        <v>0</v>
      </c>
      <c r="J214" s="552"/>
      <c r="K214" s="572"/>
      <c r="L214" s="556"/>
      <c r="M214" s="572"/>
      <c r="N214" s="556"/>
      <c r="O214" s="556"/>
    </row>
    <row r="215" spans="3:15">
      <c r="C215" s="548">
        <f>IF(D185="","-",+C214+1)</f>
        <v>2035</v>
      </c>
      <c r="D215" s="506">
        <f t="shared" si="6"/>
        <v>1123915.9961764687</v>
      </c>
      <c r="E215" s="549">
        <f t="shared" si="11"/>
        <v>102174.18147058823</v>
      </c>
      <c r="F215" s="506">
        <f t="shared" si="7"/>
        <v>1021741.8147058805</v>
      </c>
      <c r="G215" s="554">
        <f t="shared" si="8"/>
        <v>262157.42050018732</v>
      </c>
      <c r="H215" s="555">
        <f t="shared" si="9"/>
        <v>262157.42050018732</v>
      </c>
      <c r="I215" s="552">
        <f t="shared" si="10"/>
        <v>0</v>
      </c>
      <c r="J215" s="552"/>
      <c r="K215" s="572"/>
      <c r="L215" s="556"/>
      <c r="M215" s="572"/>
      <c r="N215" s="556"/>
      <c r="O215" s="556"/>
    </row>
    <row r="216" spans="3:15">
      <c r="C216" s="548">
        <f>IF(D185="","-",+C215+1)</f>
        <v>2036</v>
      </c>
      <c r="D216" s="506">
        <f t="shared" si="6"/>
        <v>1021741.8147058805</v>
      </c>
      <c r="E216" s="549">
        <f t="shared" si="11"/>
        <v>102174.18147058823</v>
      </c>
      <c r="F216" s="506">
        <f t="shared" si="7"/>
        <v>919567.63323529228</v>
      </c>
      <c r="G216" s="554">
        <f t="shared" si="8"/>
        <v>246920.92154498739</v>
      </c>
      <c r="H216" s="555">
        <f t="shared" si="9"/>
        <v>246920.92154498739</v>
      </c>
      <c r="I216" s="552">
        <f t="shared" si="10"/>
        <v>0</v>
      </c>
      <c r="J216" s="552"/>
      <c r="K216" s="572"/>
      <c r="L216" s="556"/>
      <c r="M216" s="572"/>
      <c r="N216" s="556"/>
      <c r="O216" s="556"/>
    </row>
    <row r="217" spans="3:15">
      <c r="C217" s="548">
        <f>IF(D185="","-",+C216+1)</f>
        <v>2037</v>
      </c>
      <c r="D217" s="506">
        <f t="shared" si="6"/>
        <v>919567.63323529228</v>
      </c>
      <c r="E217" s="549">
        <f t="shared" si="11"/>
        <v>102174.18147058823</v>
      </c>
      <c r="F217" s="506">
        <f t="shared" si="7"/>
        <v>817393.45176470408</v>
      </c>
      <c r="G217" s="554">
        <f t="shared" si="8"/>
        <v>231684.42258978746</v>
      </c>
      <c r="H217" s="555">
        <f t="shared" si="9"/>
        <v>231684.42258978746</v>
      </c>
      <c r="I217" s="552">
        <f t="shared" si="10"/>
        <v>0</v>
      </c>
      <c r="J217" s="552"/>
      <c r="K217" s="572"/>
      <c r="L217" s="556"/>
      <c r="M217" s="572"/>
      <c r="N217" s="556"/>
      <c r="O217" s="556"/>
    </row>
    <row r="218" spans="3:15">
      <c r="C218" s="548">
        <f>IF(D185="","-",+C217+1)</f>
        <v>2038</v>
      </c>
      <c r="D218" s="506">
        <f t="shared" si="6"/>
        <v>817393.45176470408</v>
      </c>
      <c r="E218" s="549">
        <f t="shared" si="11"/>
        <v>102174.18147058823</v>
      </c>
      <c r="F218" s="506">
        <f t="shared" si="7"/>
        <v>715219.27029411588</v>
      </c>
      <c r="G218" s="554">
        <f t="shared" si="8"/>
        <v>216447.92363458753</v>
      </c>
      <c r="H218" s="555">
        <f t="shared" si="9"/>
        <v>216447.92363458753</v>
      </c>
      <c r="I218" s="552">
        <f t="shared" si="10"/>
        <v>0</v>
      </c>
      <c r="J218" s="552"/>
      <c r="K218" s="572"/>
      <c r="L218" s="556"/>
      <c r="M218" s="572"/>
      <c r="N218" s="556"/>
      <c r="O218" s="556"/>
    </row>
    <row r="219" spans="3:15">
      <c r="C219" s="548">
        <f>IF(D185="","-",+C218+1)</f>
        <v>2039</v>
      </c>
      <c r="D219" s="506">
        <f t="shared" si="6"/>
        <v>715219.27029411588</v>
      </c>
      <c r="E219" s="549">
        <f t="shared" si="11"/>
        <v>102174.18147058823</v>
      </c>
      <c r="F219" s="506">
        <f t="shared" si="7"/>
        <v>613045.08882352768</v>
      </c>
      <c r="G219" s="550">
        <f t="shared" si="8"/>
        <v>201211.42467938759</v>
      </c>
      <c r="H219" s="555">
        <f t="shared" si="9"/>
        <v>201211.42467938759</v>
      </c>
      <c r="I219" s="552">
        <f t="shared" si="10"/>
        <v>0</v>
      </c>
      <c r="J219" s="552"/>
      <c r="K219" s="572"/>
      <c r="L219" s="556"/>
      <c r="M219" s="572"/>
      <c r="N219" s="556"/>
      <c r="O219" s="556"/>
    </row>
    <row r="220" spans="3:15">
      <c r="C220" s="548">
        <f>IF(D185="","-",+C219+1)</f>
        <v>2040</v>
      </c>
      <c r="D220" s="506">
        <f t="shared" si="6"/>
        <v>613045.08882352768</v>
      </c>
      <c r="E220" s="549">
        <f t="shared" si="11"/>
        <v>102174.18147058823</v>
      </c>
      <c r="F220" s="506">
        <f t="shared" si="7"/>
        <v>510870.90735293948</v>
      </c>
      <c r="G220" s="554">
        <f t="shared" si="8"/>
        <v>185974.92572418763</v>
      </c>
      <c r="H220" s="555">
        <f t="shared" si="9"/>
        <v>185974.92572418763</v>
      </c>
      <c r="I220" s="552">
        <f t="shared" si="10"/>
        <v>0</v>
      </c>
      <c r="J220" s="552"/>
      <c r="K220" s="572"/>
      <c r="L220" s="556"/>
      <c r="M220" s="572"/>
      <c r="N220" s="556"/>
      <c r="O220" s="556"/>
    </row>
    <row r="221" spans="3:15">
      <c r="C221" s="548">
        <f>IF(D185="","-",+C220+1)</f>
        <v>2041</v>
      </c>
      <c r="D221" s="506">
        <f t="shared" si="6"/>
        <v>510870.90735293948</v>
      </c>
      <c r="E221" s="549">
        <f t="shared" si="11"/>
        <v>102174.18147058823</v>
      </c>
      <c r="F221" s="506">
        <f t="shared" si="7"/>
        <v>408696.72588235128</v>
      </c>
      <c r="G221" s="554">
        <f t="shared" si="8"/>
        <v>170738.42676898773</v>
      </c>
      <c r="H221" s="555">
        <f t="shared" si="9"/>
        <v>170738.42676898773</v>
      </c>
      <c r="I221" s="552">
        <f t="shared" si="10"/>
        <v>0</v>
      </c>
      <c r="J221" s="552"/>
      <c r="K221" s="572"/>
      <c r="L221" s="556"/>
      <c r="M221" s="572"/>
      <c r="N221" s="556"/>
      <c r="O221" s="556"/>
    </row>
    <row r="222" spans="3:15">
      <c r="C222" s="548">
        <f>IF(D185="","-",+C221+1)</f>
        <v>2042</v>
      </c>
      <c r="D222" s="506">
        <f t="shared" si="6"/>
        <v>408696.72588235128</v>
      </c>
      <c r="E222" s="549">
        <f t="shared" si="11"/>
        <v>102174.18147058823</v>
      </c>
      <c r="F222" s="506">
        <f t="shared" si="7"/>
        <v>306522.54441176308</v>
      </c>
      <c r="G222" s="554">
        <f t="shared" si="8"/>
        <v>155501.92781378777</v>
      </c>
      <c r="H222" s="555">
        <f t="shared" si="9"/>
        <v>155501.92781378777</v>
      </c>
      <c r="I222" s="552">
        <f t="shared" si="10"/>
        <v>0</v>
      </c>
      <c r="J222" s="552"/>
      <c r="K222" s="572"/>
      <c r="L222" s="556"/>
      <c r="M222" s="572"/>
      <c r="N222" s="556"/>
      <c r="O222" s="556"/>
    </row>
    <row r="223" spans="3:15">
      <c r="C223" s="548">
        <f>IF(D185="","-",+C222+1)</f>
        <v>2043</v>
      </c>
      <c r="D223" s="506">
        <f t="shared" si="6"/>
        <v>306522.54441176308</v>
      </c>
      <c r="E223" s="549">
        <f t="shared" si="11"/>
        <v>102174.18147058823</v>
      </c>
      <c r="F223" s="506">
        <f t="shared" si="7"/>
        <v>204348.36294117486</v>
      </c>
      <c r="G223" s="554">
        <f t="shared" si="8"/>
        <v>140265.42885858784</v>
      </c>
      <c r="H223" s="555">
        <f t="shared" si="9"/>
        <v>140265.42885858784</v>
      </c>
      <c r="I223" s="552">
        <f t="shared" si="10"/>
        <v>0</v>
      </c>
      <c r="J223" s="552"/>
      <c r="K223" s="572"/>
      <c r="L223" s="556"/>
      <c r="M223" s="572"/>
      <c r="N223" s="556"/>
      <c r="O223" s="556"/>
    </row>
    <row r="224" spans="3:15">
      <c r="C224" s="548">
        <f>IF(D185="","-",+C223+1)</f>
        <v>2044</v>
      </c>
      <c r="D224" s="506">
        <f t="shared" si="6"/>
        <v>204348.36294117486</v>
      </c>
      <c r="E224" s="549">
        <f t="shared" si="11"/>
        <v>102174.18147058823</v>
      </c>
      <c r="F224" s="506">
        <f t="shared" si="7"/>
        <v>102174.18147058663</v>
      </c>
      <c r="G224" s="554">
        <f t="shared" si="8"/>
        <v>125028.92990338789</v>
      </c>
      <c r="H224" s="555">
        <f t="shared" si="9"/>
        <v>125028.92990338789</v>
      </c>
      <c r="I224" s="552">
        <f t="shared" si="10"/>
        <v>0</v>
      </c>
      <c r="J224" s="552"/>
      <c r="K224" s="572"/>
      <c r="L224" s="556"/>
      <c r="M224" s="572"/>
      <c r="N224" s="556"/>
      <c r="O224" s="556"/>
    </row>
    <row r="225" spans="3:15">
      <c r="C225" s="548">
        <f>IF(D185="","-",+C224+1)</f>
        <v>2045</v>
      </c>
      <c r="D225" s="506">
        <f t="shared" si="6"/>
        <v>102174.18147058663</v>
      </c>
      <c r="E225" s="549">
        <f t="shared" si="11"/>
        <v>102174.18147058663</v>
      </c>
      <c r="F225" s="506">
        <f t="shared" si="7"/>
        <v>0</v>
      </c>
      <c r="G225" s="554">
        <f t="shared" si="8"/>
        <v>109792.43094818648</v>
      </c>
      <c r="H225" s="555">
        <f t="shared" si="9"/>
        <v>109792.43094818648</v>
      </c>
      <c r="I225" s="552">
        <f t="shared" si="10"/>
        <v>0</v>
      </c>
      <c r="J225" s="552"/>
      <c r="K225" s="572"/>
      <c r="L225" s="556"/>
      <c r="M225" s="572"/>
      <c r="N225" s="556"/>
      <c r="O225" s="556"/>
    </row>
    <row r="226" spans="3:15">
      <c r="C226" s="548">
        <f>IF(D185="","-",+C225+1)</f>
        <v>2046</v>
      </c>
      <c r="D226" s="506">
        <f t="shared" si="6"/>
        <v>0</v>
      </c>
      <c r="E226" s="549">
        <f t="shared" si="11"/>
        <v>0</v>
      </c>
      <c r="F226" s="506">
        <f t="shared" si="7"/>
        <v>0</v>
      </c>
      <c r="G226" s="554">
        <f t="shared" si="8"/>
        <v>0</v>
      </c>
      <c r="H226" s="555">
        <f t="shared" si="9"/>
        <v>0</v>
      </c>
      <c r="I226" s="552">
        <f t="shared" si="10"/>
        <v>0</v>
      </c>
      <c r="J226" s="552"/>
      <c r="K226" s="572"/>
      <c r="L226" s="556"/>
      <c r="M226" s="572"/>
      <c r="N226" s="556"/>
      <c r="O226" s="556"/>
    </row>
    <row r="227" spans="3:15">
      <c r="C227" s="548">
        <f>IF(D185="","-",+C226+1)</f>
        <v>2047</v>
      </c>
      <c r="D227" s="506">
        <f t="shared" si="6"/>
        <v>0</v>
      </c>
      <c r="E227" s="549">
        <f t="shared" si="11"/>
        <v>0</v>
      </c>
      <c r="F227" s="506">
        <f t="shared" si="7"/>
        <v>0</v>
      </c>
      <c r="G227" s="554">
        <f t="shared" si="8"/>
        <v>0</v>
      </c>
      <c r="H227" s="555">
        <f t="shared" si="9"/>
        <v>0</v>
      </c>
      <c r="I227" s="552">
        <f t="shared" si="10"/>
        <v>0</v>
      </c>
      <c r="J227" s="552"/>
      <c r="K227" s="572"/>
      <c r="L227" s="556"/>
      <c r="M227" s="572"/>
      <c r="N227" s="556"/>
      <c r="O227" s="556"/>
    </row>
    <row r="228" spans="3:15">
      <c r="C228" s="548">
        <f>IF(D185="","-",+C227+1)</f>
        <v>2048</v>
      </c>
      <c r="D228" s="506">
        <f t="shared" si="6"/>
        <v>0</v>
      </c>
      <c r="E228" s="549">
        <f t="shared" si="11"/>
        <v>0</v>
      </c>
      <c r="F228" s="506">
        <f t="shared" si="7"/>
        <v>0</v>
      </c>
      <c r="G228" s="554">
        <f t="shared" si="8"/>
        <v>0</v>
      </c>
      <c r="H228" s="555">
        <f t="shared" si="9"/>
        <v>0</v>
      </c>
      <c r="I228" s="552">
        <f t="shared" si="10"/>
        <v>0</v>
      </c>
      <c r="J228" s="552"/>
      <c r="K228" s="572"/>
      <c r="L228" s="556"/>
      <c r="M228" s="572"/>
      <c r="N228" s="556"/>
      <c r="O228" s="556"/>
    </row>
    <row r="229" spans="3:15">
      <c r="C229" s="548">
        <f>IF(D185="","-",+C228+1)</f>
        <v>2049</v>
      </c>
      <c r="D229" s="506">
        <f t="shared" si="6"/>
        <v>0</v>
      </c>
      <c r="E229" s="549">
        <f t="shared" si="11"/>
        <v>0</v>
      </c>
      <c r="F229" s="506">
        <f t="shared" si="7"/>
        <v>0</v>
      </c>
      <c r="G229" s="554">
        <f t="shared" si="8"/>
        <v>0</v>
      </c>
      <c r="H229" s="555">
        <f t="shared" si="9"/>
        <v>0</v>
      </c>
      <c r="I229" s="552">
        <f t="shared" si="10"/>
        <v>0</v>
      </c>
      <c r="J229" s="552"/>
      <c r="K229" s="572"/>
      <c r="L229" s="556"/>
      <c r="M229" s="572"/>
      <c r="N229" s="556"/>
      <c r="O229" s="556"/>
    </row>
    <row r="230" spans="3:15">
      <c r="C230" s="548">
        <f>IF(D185="","-",+C229+1)</f>
        <v>2050</v>
      </c>
      <c r="D230" s="506">
        <f t="shared" si="6"/>
        <v>0</v>
      </c>
      <c r="E230" s="549">
        <f t="shared" si="11"/>
        <v>0</v>
      </c>
      <c r="F230" s="506">
        <f t="shared" si="7"/>
        <v>0</v>
      </c>
      <c r="G230" s="554">
        <f t="shared" si="8"/>
        <v>0</v>
      </c>
      <c r="H230" s="555">
        <f t="shared" si="9"/>
        <v>0</v>
      </c>
      <c r="I230" s="552">
        <f t="shared" si="10"/>
        <v>0</v>
      </c>
      <c r="J230" s="552"/>
      <c r="K230" s="572"/>
      <c r="L230" s="556"/>
      <c r="M230" s="572"/>
      <c r="N230" s="556"/>
      <c r="O230" s="556"/>
    </row>
    <row r="231" spans="3:15">
      <c r="C231" s="548">
        <f>IF(D185="","-",+C230+1)</f>
        <v>2051</v>
      </c>
      <c r="D231" s="506">
        <f t="shared" si="6"/>
        <v>0</v>
      </c>
      <c r="E231" s="549">
        <f t="shared" si="11"/>
        <v>0</v>
      </c>
      <c r="F231" s="506">
        <f t="shared" si="7"/>
        <v>0</v>
      </c>
      <c r="G231" s="554">
        <f t="shared" si="8"/>
        <v>0</v>
      </c>
      <c r="H231" s="555">
        <f t="shared" si="9"/>
        <v>0</v>
      </c>
      <c r="I231" s="552">
        <f t="shared" si="10"/>
        <v>0</v>
      </c>
      <c r="J231" s="552"/>
      <c r="K231" s="572"/>
      <c r="L231" s="556"/>
      <c r="M231" s="572"/>
      <c r="N231" s="556"/>
      <c r="O231" s="556"/>
    </row>
    <row r="232" spans="3:15">
      <c r="C232" s="548">
        <f>IF(D185="","-",+C231+1)</f>
        <v>2052</v>
      </c>
      <c r="D232" s="506">
        <f t="shared" si="6"/>
        <v>0</v>
      </c>
      <c r="E232" s="549">
        <f t="shared" si="11"/>
        <v>0</v>
      </c>
      <c r="F232" s="506">
        <f t="shared" si="7"/>
        <v>0</v>
      </c>
      <c r="G232" s="554">
        <f t="shared" si="8"/>
        <v>0</v>
      </c>
      <c r="H232" s="555">
        <f t="shared" si="9"/>
        <v>0</v>
      </c>
      <c r="I232" s="552">
        <f t="shared" si="10"/>
        <v>0</v>
      </c>
      <c r="J232" s="552"/>
      <c r="K232" s="572"/>
      <c r="L232" s="556"/>
      <c r="M232" s="572"/>
      <c r="N232" s="556"/>
      <c r="O232" s="556"/>
    </row>
    <row r="233" spans="3:15">
      <c r="C233" s="548">
        <f>IF(D185="","-",+C232+1)</f>
        <v>2053</v>
      </c>
      <c r="D233" s="506">
        <f t="shared" si="6"/>
        <v>0</v>
      </c>
      <c r="E233" s="549">
        <f t="shared" si="11"/>
        <v>0</v>
      </c>
      <c r="F233" s="506">
        <f t="shared" si="7"/>
        <v>0</v>
      </c>
      <c r="G233" s="554">
        <f t="shared" si="8"/>
        <v>0</v>
      </c>
      <c r="H233" s="555">
        <f t="shared" si="9"/>
        <v>0</v>
      </c>
      <c r="I233" s="552">
        <f t="shared" si="10"/>
        <v>0</v>
      </c>
      <c r="J233" s="552"/>
      <c r="K233" s="572"/>
      <c r="L233" s="556"/>
      <c r="M233" s="572"/>
      <c r="N233" s="556"/>
      <c r="O233" s="556"/>
    </row>
    <row r="234" spans="3:15">
      <c r="C234" s="548">
        <f>IF(D185="","-",+C233+1)</f>
        <v>2054</v>
      </c>
      <c r="D234" s="506">
        <f t="shared" si="6"/>
        <v>0</v>
      </c>
      <c r="E234" s="549">
        <f t="shared" si="11"/>
        <v>0</v>
      </c>
      <c r="F234" s="506">
        <f t="shared" si="7"/>
        <v>0</v>
      </c>
      <c r="G234" s="554">
        <f t="shared" si="8"/>
        <v>0</v>
      </c>
      <c r="H234" s="555">
        <f t="shared" si="9"/>
        <v>0</v>
      </c>
      <c r="I234" s="552">
        <f t="shared" si="10"/>
        <v>0</v>
      </c>
      <c r="J234" s="552"/>
      <c r="K234" s="572"/>
      <c r="L234" s="556"/>
      <c r="M234" s="572"/>
      <c r="N234" s="556"/>
      <c r="O234" s="556"/>
    </row>
    <row r="235" spans="3:15">
      <c r="C235" s="548">
        <f>IF(D185="","-",+C234+1)</f>
        <v>2055</v>
      </c>
      <c r="D235" s="506">
        <f t="shared" si="6"/>
        <v>0</v>
      </c>
      <c r="E235" s="549">
        <f t="shared" si="11"/>
        <v>0</v>
      </c>
      <c r="F235" s="506">
        <f t="shared" si="7"/>
        <v>0</v>
      </c>
      <c r="G235" s="554">
        <f t="shared" si="8"/>
        <v>0</v>
      </c>
      <c r="H235" s="555">
        <f t="shared" si="9"/>
        <v>0</v>
      </c>
      <c r="I235" s="552">
        <f t="shared" si="10"/>
        <v>0</v>
      </c>
      <c r="J235" s="552"/>
      <c r="K235" s="572"/>
      <c r="L235" s="556"/>
      <c r="M235" s="572"/>
      <c r="N235" s="556"/>
      <c r="O235" s="556"/>
    </row>
    <row r="236" spans="3:15">
      <c r="C236" s="548">
        <f>IF(D185="","-",+C235+1)</f>
        <v>2056</v>
      </c>
      <c r="D236" s="506">
        <f t="shared" si="6"/>
        <v>0</v>
      </c>
      <c r="E236" s="549">
        <f t="shared" si="11"/>
        <v>0</v>
      </c>
      <c r="F236" s="506">
        <f t="shared" si="7"/>
        <v>0</v>
      </c>
      <c r="G236" s="554">
        <f t="shared" si="8"/>
        <v>0</v>
      </c>
      <c r="H236" s="555">
        <f t="shared" si="9"/>
        <v>0</v>
      </c>
      <c r="I236" s="552">
        <f t="shared" si="10"/>
        <v>0</v>
      </c>
      <c r="J236" s="552"/>
      <c r="K236" s="572"/>
      <c r="L236" s="556"/>
      <c r="M236" s="572"/>
      <c r="N236" s="556"/>
      <c r="O236" s="556"/>
    </row>
    <row r="237" spans="3:15">
      <c r="C237" s="548">
        <f>IF(D185="","-",+C236+1)</f>
        <v>2057</v>
      </c>
      <c r="D237" s="506">
        <f t="shared" si="6"/>
        <v>0</v>
      </c>
      <c r="E237" s="549">
        <f t="shared" si="11"/>
        <v>0</v>
      </c>
      <c r="F237" s="506">
        <f t="shared" si="7"/>
        <v>0</v>
      </c>
      <c r="G237" s="554">
        <f t="shared" si="8"/>
        <v>0</v>
      </c>
      <c r="H237" s="555">
        <f t="shared" si="9"/>
        <v>0</v>
      </c>
      <c r="I237" s="552">
        <f t="shared" si="10"/>
        <v>0</v>
      </c>
      <c r="J237" s="552"/>
      <c r="K237" s="572"/>
      <c r="L237" s="556"/>
      <c r="M237" s="572"/>
      <c r="N237" s="556"/>
      <c r="O237" s="556"/>
    </row>
    <row r="238" spans="3:15">
      <c r="C238" s="548">
        <f>IF(D185="","-",+C237+1)</f>
        <v>2058</v>
      </c>
      <c r="D238" s="506">
        <f t="shared" si="6"/>
        <v>0</v>
      </c>
      <c r="E238" s="549">
        <f t="shared" si="11"/>
        <v>0</v>
      </c>
      <c r="F238" s="506">
        <f t="shared" si="7"/>
        <v>0</v>
      </c>
      <c r="G238" s="554">
        <f t="shared" si="8"/>
        <v>0</v>
      </c>
      <c r="H238" s="555">
        <f t="shared" si="9"/>
        <v>0</v>
      </c>
      <c r="I238" s="552">
        <f t="shared" si="10"/>
        <v>0</v>
      </c>
      <c r="J238" s="552"/>
      <c r="K238" s="572"/>
      <c r="L238" s="556"/>
      <c r="M238" s="572"/>
      <c r="N238" s="556"/>
      <c r="O238" s="556"/>
    </row>
    <row r="239" spans="3:15">
      <c r="C239" s="548">
        <f>IF(D185="","-",+C238+1)</f>
        <v>2059</v>
      </c>
      <c r="D239" s="506">
        <f t="shared" si="6"/>
        <v>0</v>
      </c>
      <c r="E239" s="549">
        <f t="shared" si="11"/>
        <v>0</v>
      </c>
      <c r="F239" s="506">
        <f t="shared" si="7"/>
        <v>0</v>
      </c>
      <c r="G239" s="554">
        <f t="shared" si="8"/>
        <v>0</v>
      </c>
      <c r="H239" s="555">
        <f t="shared" si="9"/>
        <v>0</v>
      </c>
      <c r="I239" s="552">
        <f t="shared" si="10"/>
        <v>0</v>
      </c>
      <c r="J239" s="552"/>
      <c r="K239" s="572"/>
      <c r="L239" s="556"/>
      <c r="M239" s="572"/>
      <c r="N239" s="556"/>
      <c r="O239" s="556"/>
    </row>
    <row r="240" spans="3:15">
      <c r="C240" s="548">
        <f>IF(D185="","-",+C239+1)</f>
        <v>2060</v>
      </c>
      <c r="D240" s="506">
        <f t="shared" si="6"/>
        <v>0</v>
      </c>
      <c r="E240" s="549">
        <f t="shared" si="11"/>
        <v>0</v>
      </c>
      <c r="F240" s="506">
        <f t="shared" si="7"/>
        <v>0</v>
      </c>
      <c r="G240" s="554">
        <f t="shared" si="8"/>
        <v>0</v>
      </c>
      <c r="H240" s="555">
        <f t="shared" si="9"/>
        <v>0</v>
      </c>
      <c r="I240" s="552">
        <f t="shared" si="10"/>
        <v>0</v>
      </c>
      <c r="J240" s="552"/>
      <c r="K240" s="572"/>
      <c r="L240" s="556"/>
      <c r="M240" s="572"/>
      <c r="N240" s="556"/>
      <c r="O240" s="556"/>
    </row>
    <row r="241" spans="3:15">
      <c r="C241" s="548">
        <f>IF(D185="","-",+C240+1)</f>
        <v>2061</v>
      </c>
      <c r="D241" s="506">
        <f t="shared" si="6"/>
        <v>0</v>
      </c>
      <c r="E241" s="549">
        <f t="shared" si="11"/>
        <v>0</v>
      </c>
      <c r="F241" s="506">
        <f t="shared" si="7"/>
        <v>0</v>
      </c>
      <c r="G241" s="554">
        <f t="shared" si="8"/>
        <v>0</v>
      </c>
      <c r="H241" s="555">
        <f t="shared" si="9"/>
        <v>0</v>
      </c>
      <c r="I241" s="552">
        <f t="shared" si="10"/>
        <v>0</v>
      </c>
      <c r="J241" s="552"/>
      <c r="K241" s="572"/>
      <c r="L241" s="556"/>
      <c r="M241" s="572"/>
      <c r="N241" s="556"/>
      <c r="O241" s="556"/>
    </row>
    <row r="242" spans="3:15">
      <c r="C242" s="548">
        <f>IF(D185="","-",+C241+1)</f>
        <v>2062</v>
      </c>
      <c r="D242" s="506">
        <f t="shared" si="6"/>
        <v>0</v>
      </c>
      <c r="E242" s="549">
        <f t="shared" si="11"/>
        <v>0</v>
      </c>
      <c r="F242" s="506">
        <f t="shared" si="7"/>
        <v>0</v>
      </c>
      <c r="G242" s="554">
        <f t="shared" si="8"/>
        <v>0</v>
      </c>
      <c r="H242" s="555">
        <f t="shared" si="9"/>
        <v>0</v>
      </c>
      <c r="I242" s="552">
        <f t="shared" si="10"/>
        <v>0</v>
      </c>
      <c r="J242" s="552"/>
      <c r="K242" s="572"/>
      <c r="L242" s="556"/>
      <c r="M242" s="572"/>
      <c r="N242" s="556"/>
      <c r="O242" s="556"/>
    </row>
    <row r="243" spans="3:15">
      <c r="C243" s="548">
        <f>IF(D185="","-",+C242+1)</f>
        <v>2063</v>
      </c>
      <c r="D243" s="506">
        <f t="shared" si="6"/>
        <v>0</v>
      </c>
      <c r="E243" s="549">
        <f t="shared" si="11"/>
        <v>0</v>
      </c>
      <c r="F243" s="506">
        <f t="shared" si="7"/>
        <v>0</v>
      </c>
      <c r="G243" s="554">
        <f t="shared" si="8"/>
        <v>0</v>
      </c>
      <c r="H243" s="555">
        <f t="shared" si="9"/>
        <v>0</v>
      </c>
      <c r="I243" s="552">
        <f t="shared" si="10"/>
        <v>0</v>
      </c>
      <c r="J243" s="552"/>
      <c r="K243" s="572"/>
      <c r="L243" s="556"/>
      <c r="M243" s="572"/>
      <c r="N243" s="556"/>
      <c r="O243" s="556"/>
    </row>
    <row r="244" spans="3:15">
      <c r="C244" s="548">
        <f>IF(D185="","-",+C243+1)</f>
        <v>2064</v>
      </c>
      <c r="D244" s="506">
        <f t="shared" si="6"/>
        <v>0</v>
      </c>
      <c r="E244" s="549">
        <f t="shared" si="11"/>
        <v>0</v>
      </c>
      <c r="F244" s="506">
        <f t="shared" si="7"/>
        <v>0</v>
      </c>
      <c r="G244" s="554">
        <f t="shared" si="8"/>
        <v>0</v>
      </c>
      <c r="H244" s="555">
        <f t="shared" si="9"/>
        <v>0</v>
      </c>
      <c r="I244" s="552">
        <f t="shared" si="10"/>
        <v>0</v>
      </c>
      <c r="J244" s="552"/>
      <c r="K244" s="572"/>
      <c r="L244" s="556"/>
      <c r="M244" s="572"/>
      <c r="N244" s="556"/>
      <c r="O244" s="556"/>
    </row>
    <row r="245" spans="3:15">
      <c r="C245" s="548">
        <f>IF(D185="","-",+C244+1)</f>
        <v>2065</v>
      </c>
      <c r="D245" s="506">
        <f t="shared" si="6"/>
        <v>0</v>
      </c>
      <c r="E245" s="549">
        <f t="shared" si="11"/>
        <v>0</v>
      </c>
      <c r="F245" s="506">
        <f t="shared" si="7"/>
        <v>0</v>
      </c>
      <c r="G245" s="554">
        <f t="shared" si="8"/>
        <v>0</v>
      </c>
      <c r="H245" s="555">
        <f t="shared" si="9"/>
        <v>0</v>
      </c>
      <c r="I245" s="552">
        <f t="shared" si="10"/>
        <v>0</v>
      </c>
      <c r="J245" s="552"/>
      <c r="K245" s="572"/>
      <c r="L245" s="556"/>
      <c r="M245" s="572"/>
      <c r="N245" s="556"/>
      <c r="O245" s="556"/>
    </row>
    <row r="246" spans="3:15">
      <c r="C246" s="548">
        <f>IF(D185="","-",+C245+1)</f>
        <v>2066</v>
      </c>
      <c r="D246" s="506">
        <f t="shared" si="6"/>
        <v>0</v>
      </c>
      <c r="E246" s="549">
        <f t="shared" si="11"/>
        <v>0</v>
      </c>
      <c r="F246" s="506">
        <f t="shared" si="7"/>
        <v>0</v>
      </c>
      <c r="G246" s="554">
        <f t="shared" si="8"/>
        <v>0</v>
      </c>
      <c r="H246" s="555">
        <f t="shared" si="9"/>
        <v>0</v>
      </c>
      <c r="I246" s="552">
        <f t="shared" si="10"/>
        <v>0</v>
      </c>
      <c r="J246" s="552"/>
      <c r="K246" s="572"/>
      <c r="L246" s="556"/>
      <c r="M246" s="572"/>
      <c r="N246" s="556"/>
      <c r="O246" s="556"/>
    </row>
    <row r="247" spans="3:15">
      <c r="C247" s="548">
        <f>IF(D185="","-",+C246+1)</f>
        <v>2067</v>
      </c>
      <c r="D247" s="506">
        <f t="shared" si="6"/>
        <v>0</v>
      </c>
      <c r="E247" s="549">
        <f t="shared" si="11"/>
        <v>0</v>
      </c>
      <c r="F247" s="506">
        <f t="shared" si="7"/>
        <v>0</v>
      </c>
      <c r="G247" s="554">
        <f t="shared" si="8"/>
        <v>0</v>
      </c>
      <c r="H247" s="555">
        <f t="shared" si="9"/>
        <v>0</v>
      </c>
      <c r="I247" s="552">
        <f t="shared" si="10"/>
        <v>0</v>
      </c>
      <c r="J247" s="552"/>
      <c r="K247" s="572"/>
      <c r="L247" s="556"/>
      <c r="M247" s="572"/>
      <c r="N247" s="556"/>
      <c r="O247" s="556"/>
    </row>
    <row r="248" spans="3:15">
      <c r="C248" s="548">
        <f>IF(D185="","-",+C247+1)</f>
        <v>2068</v>
      </c>
      <c r="D248" s="506">
        <f t="shared" si="6"/>
        <v>0</v>
      </c>
      <c r="E248" s="549">
        <f t="shared" si="11"/>
        <v>0</v>
      </c>
      <c r="F248" s="506">
        <f t="shared" si="7"/>
        <v>0</v>
      </c>
      <c r="G248" s="554">
        <f t="shared" si="8"/>
        <v>0</v>
      </c>
      <c r="H248" s="555">
        <f t="shared" si="9"/>
        <v>0</v>
      </c>
      <c r="I248" s="552">
        <f t="shared" si="10"/>
        <v>0</v>
      </c>
      <c r="J248" s="552"/>
      <c r="K248" s="572"/>
      <c r="L248" s="556"/>
      <c r="M248" s="572"/>
      <c r="N248" s="556"/>
      <c r="O248" s="556"/>
    </row>
    <row r="249" spans="3:15">
      <c r="C249" s="548">
        <f>IF(D185="","-",+C248+1)</f>
        <v>2069</v>
      </c>
      <c r="D249" s="506">
        <f t="shared" si="6"/>
        <v>0</v>
      </c>
      <c r="E249" s="549">
        <f t="shared" si="11"/>
        <v>0</v>
      </c>
      <c r="F249" s="506">
        <f t="shared" si="7"/>
        <v>0</v>
      </c>
      <c r="G249" s="554">
        <f t="shared" si="8"/>
        <v>0</v>
      </c>
      <c r="H249" s="555">
        <f t="shared" si="9"/>
        <v>0</v>
      </c>
      <c r="I249" s="552">
        <f t="shared" si="10"/>
        <v>0</v>
      </c>
      <c r="J249" s="552"/>
      <c r="K249" s="572"/>
      <c r="L249" s="556"/>
      <c r="M249" s="572"/>
      <c r="N249" s="556"/>
      <c r="O249" s="556"/>
    </row>
    <row r="250" spans="3:15" ht="13.5" thickBot="1">
      <c r="C250" s="558">
        <f>IF(D185="","-",+C249+1)</f>
        <v>2070</v>
      </c>
      <c r="D250" s="559">
        <f t="shared" si="6"/>
        <v>0</v>
      </c>
      <c r="E250" s="560">
        <f t="shared" si="11"/>
        <v>0</v>
      </c>
      <c r="F250" s="559">
        <f t="shared" si="7"/>
        <v>0</v>
      </c>
      <c r="G250" s="561">
        <f t="shared" si="8"/>
        <v>0</v>
      </c>
      <c r="H250" s="561">
        <f t="shared" si="9"/>
        <v>0</v>
      </c>
      <c r="I250" s="562">
        <f t="shared" si="10"/>
        <v>0</v>
      </c>
      <c r="J250" s="552"/>
      <c r="K250" s="573"/>
      <c r="L250" s="563"/>
      <c r="M250" s="573"/>
      <c r="N250" s="563"/>
      <c r="O250" s="563"/>
    </row>
    <row r="251" spans="3:15">
      <c r="C251" s="506" t="s">
        <v>83</v>
      </c>
      <c r="D251" s="503"/>
      <c r="E251" s="503">
        <f>SUM(E191:E250)</f>
        <v>3473922.1699999995</v>
      </c>
      <c r="F251" s="503"/>
      <c r="G251" s="503">
        <f>SUM(G191:G250)</f>
        <v>12798659.530582359</v>
      </c>
      <c r="H251" s="503">
        <f>SUM(H191:H250)</f>
        <v>12798659.530582359</v>
      </c>
      <c r="I251" s="503">
        <f>SUM(I191:I250)</f>
        <v>0</v>
      </c>
      <c r="J251" s="503"/>
      <c r="K251" s="503"/>
      <c r="L251" s="503"/>
      <c r="M251" s="503"/>
      <c r="N251" s="503"/>
      <c r="O251" s="3"/>
    </row>
    <row r="252" spans="3:15">
      <c r="D252" s="47"/>
      <c r="E252" s="3"/>
      <c r="F252" s="3"/>
      <c r="G252" s="3"/>
      <c r="H252" s="490"/>
      <c r="I252" s="490"/>
      <c r="J252" s="503"/>
      <c r="K252" s="490"/>
      <c r="L252" s="490"/>
      <c r="M252" s="490"/>
      <c r="N252" s="490"/>
      <c r="O252" s="3"/>
    </row>
    <row r="253" spans="3:15">
      <c r="C253" s="3" t="s">
        <v>13</v>
      </c>
      <c r="D253" s="47"/>
      <c r="E253" s="3"/>
      <c r="F253" s="3"/>
      <c r="G253" s="3"/>
      <c r="H253" s="490"/>
      <c r="I253" s="490"/>
      <c r="J253" s="503"/>
      <c r="K253" s="490"/>
      <c r="L253" s="490"/>
      <c r="M253" s="490"/>
      <c r="N253" s="490"/>
      <c r="O253" s="3"/>
    </row>
    <row r="254" spans="3:15">
      <c r="C254" s="3"/>
      <c r="D254" s="47"/>
      <c r="E254" s="3"/>
      <c r="F254" s="3"/>
      <c r="G254" s="3"/>
      <c r="H254" s="490"/>
      <c r="I254" s="490"/>
      <c r="J254" s="503"/>
      <c r="K254" s="490"/>
      <c r="L254" s="490"/>
      <c r="M254" s="490"/>
      <c r="N254" s="490"/>
      <c r="O254" s="3"/>
    </row>
    <row r="255" spans="3:15">
      <c r="C255" s="518" t="s">
        <v>14</v>
      </c>
      <c r="D255" s="506"/>
      <c r="E255" s="506"/>
      <c r="F255" s="506"/>
      <c r="G255" s="503"/>
      <c r="H255" s="503"/>
      <c r="I255" s="564"/>
      <c r="J255" s="564"/>
      <c r="K255" s="564"/>
      <c r="L255" s="564"/>
      <c r="M255" s="564"/>
      <c r="N255" s="564"/>
      <c r="O255" s="3"/>
    </row>
    <row r="256" spans="3:15">
      <c r="C256" s="507" t="s">
        <v>263</v>
      </c>
      <c r="D256" s="506"/>
      <c r="E256" s="506"/>
      <c r="F256" s="506"/>
      <c r="G256" s="503"/>
      <c r="H256" s="503"/>
      <c r="I256" s="564"/>
      <c r="J256" s="564"/>
      <c r="K256" s="564"/>
      <c r="L256" s="564"/>
      <c r="M256" s="564"/>
      <c r="N256" s="564"/>
      <c r="O256" s="3"/>
    </row>
    <row r="257" spans="1:16">
      <c r="C257" s="507" t="s">
        <v>84</v>
      </c>
      <c r="D257" s="506"/>
      <c r="E257" s="506"/>
      <c r="F257" s="506"/>
      <c r="G257" s="503"/>
      <c r="H257" s="503"/>
      <c r="I257" s="564"/>
      <c r="J257" s="564"/>
      <c r="K257" s="564"/>
      <c r="L257" s="564"/>
      <c r="M257" s="564"/>
      <c r="N257" s="564"/>
      <c r="O257" s="3"/>
    </row>
    <row r="258" spans="1:16">
      <c r="C258" s="507"/>
      <c r="D258" s="506"/>
      <c r="E258" s="506"/>
      <c r="F258" s="506"/>
      <c r="G258" s="503"/>
      <c r="H258" s="503"/>
      <c r="I258" s="564"/>
      <c r="J258" s="564"/>
      <c r="K258" s="564"/>
      <c r="L258" s="564"/>
      <c r="M258" s="564"/>
      <c r="N258" s="564"/>
      <c r="O258" s="3"/>
    </row>
    <row r="259" spans="1:16">
      <c r="C259" s="1200" t="s">
        <v>6</v>
      </c>
      <c r="D259" s="1200"/>
      <c r="E259" s="1200"/>
      <c r="F259" s="1200"/>
      <c r="G259" s="1200"/>
      <c r="H259" s="1200"/>
      <c r="I259" s="1200"/>
      <c r="J259" s="1200"/>
      <c r="K259" s="1200"/>
      <c r="L259" s="1200"/>
      <c r="M259" s="1200"/>
      <c r="N259" s="1200"/>
      <c r="O259" s="1200"/>
    </row>
    <row r="260" spans="1:16">
      <c r="C260" s="1200"/>
      <c r="D260" s="1200"/>
      <c r="E260" s="1200"/>
      <c r="F260" s="1200"/>
      <c r="G260" s="1200"/>
      <c r="H260" s="1200"/>
      <c r="I260" s="1200"/>
      <c r="J260" s="1200"/>
      <c r="K260" s="1200"/>
      <c r="L260" s="1200"/>
      <c r="M260" s="1200"/>
      <c r="N260" s="1200"/>
      <c r="O260" s="1200"/>
    </row>
    <row r="261" spans="1:16">
      <c r="C261" s="507"/>
      <c r="D261" s="506"/>
      <c r="E261" s="506"/>
      <c r="F261" s="506"/>
      <c r="G261" s="503"/>
      <c r="H261" s="503"/>
    </row>
    <row r="262" spans="1:16" ht="20.25">
      <c r="A262" s="447" t="str">
        <f>""&amp;A186&amp;" Worksheet J -  ATRR PROJECTED Calculation for PJM Projects Charged to Benefiting Zones"</f>
        <v xml:space="preserve"> Worksheet J -  ATRR PROJECTED Calculation for PJM Projects Charged to Benefiting Zones</v>
      </c>
      <c r="B262" s="3"/>
      <c r="C262" s="3"/>
      <c r="D262" s="47"/>
      <c r="E262" s="3"/>
      <c r="F262" s="489"/>
      <c r="G262" s="3"/>
      <c r="H262" s="490"/>
      <c r="K262" s="398"/>
      <c r="L262" s="398"/>
      <c r="M262" s="398"/>
      <c r="N262" s="398" t="str">
        <f>"Page "&amp;SUM(P$8:P262)&amp;" of "</f>
        <v xml:space="preserve">Page 4 of </v>
      </c>
      <c r="O262" s="448">
        <f>COUNT(P$8:P$56653)</f>
        <v>23</v>
      </c>
      <c r="P262">
        <v>1</v>
      </c>
    </row>
    <row r="263" spans="1:16">
      <c r="B263" s="3"/>
      <c r="C263" s="3"/>
      <c r="D263" s="47"/>
      <c r="E263" s="3"/>
      <c r="F263" s="3"/>
      <c r="G263" s="3"/>
      <c r="H263" s="490"/>
      <c r="I263" s="3"/>
      <c r="J263" s="3"/>
      <c r="K263" s="3"/>
      <c r="L263" s="3"/>
      <c r="M263" s="3"/>
      <c r="N263" s="3"/>
      <c r="O263" s="3"/>
    </row>
    <row r="264" spans="1:16" ht="18">
      <c r="B264" s="449" t="s">
        <v>464</v>
      </c>
      <c r="C264" s="122" t="s">
        <v>85</v>
      </c>
      <c r="D264" s="47"/>
      <c r="E264" s="3"/>
      <c r="F264" s="3"/>
      <c r="G264" s="3"/>
      <c r="H264" s="490"/>
      <c r="I264" s="490"/>
      <c r="J264" s="503"/>
      <c r="K264" s="490"/>
      <c r="L264" s="490"/>
      <c r="M264" s="490"/>
      <c r="N264" s="490"/>
      <c r="O264" s="3"/>
    </row>
    <row r="265" spans="1:16" ht="18.75">
      <c r="B265" s="449"/>
      <c r="C265" s="6"/>
      <c r="D265" s="47"/>
      <c r="E265" s="3"/>
      <c r="F265" s="3"/>
      <c r="G265" s="3"/>
      <c r="H265" s="490"/>
      <c r="I265" s="490"/>
      <c r="J265" s="503"/>
      <c r="K265" s="490"/>
      <c r="L265" s="490"/>
      <c r="M265" s="490"/>
      <c r="N265" s="490"/>
      <c r="O265" s="3"/>
    </row>
    <row r="266" spans="1:16" ht="18.75">
      <c r="B266" s="449"/>
      <c r="C266" s="6" t="s">
        <v>86</v>
      </c>
      <c r="D266" s="47"/>
      <c r="E266" s="3"/>
      <c r="F266" s="3"/>
      <c r="G266" s="3"/>
      <c r="H266" s="490"/>
      <c r="I266" s="490"/>
      <c r="J266" s="503"/>
      <c r="K266" s="490"/>
      <c r="L266" s="490"/>
      <c r="M266" s="490"/>
      <c r="N266" s="490"/>
      <c r="O266" s="3"/>
    </row>
    <row r="267" spans="1:16" ht="15.75" thickBot="1">
      <c r="C267" s="131"/>
      <c r="D267" s="47"/>
      <c r="E267" s="3"/>
      <c r="F267" s="3"/>
      <c r="G267" s="3"/>
      <c r="H267" s="490"/>
      <c r="I267" s="490"/>
      <c r="J267" s="503"/>
      <c r="K267" s="490"/>
      <c r="L267" s="490"/>
      <c r="M267" s="490"/>
      <c r="N267" s="490"/>
      <c r="O267" s="3"/>
    </row>
    <row r="268" spans="1:16" ht="15.75">
      <c r="C268" s="451" t="s">
        <v>87</v>
      </c>
      <c r="D268" s="47"/>
      <c r="E268" s="3"/>
      <c r="F268" s="3"/>
      <c r="G268" s="566"/>
      <c r="H268" s="3" t="s">
        <v>66</v>
      </c>
      <c r="I268" s="3"/>
      <c r="J268" s="3"/>
      <c r="K268" s="509" t="s">
        <v>91</v>
      </c>
      <c r="L268" s="510"/>
      <c r="M268" s="511"/>
      <c r="N268" s="512">
        <f>IF(I274=0,0,VLOOKUP(I274,C281:O340,5))</f>
        <v>1029393.0704763428</v>
      </c>
      <c r="O268" s="3"/>
    </row>
    <row r="269" spans="1:16" ht="15.75">
      <c r="C269" s="451"/>
      <c r="D269" s="47"/>
      <c r="E269" s="3"/>
      <c r="F269" s="3"/>
      <c r="G269" s="3"/>
      <c r="H269" s="513"/>
      <c r="I269" s="513"/>
      <c r="J269" s="514"/>
      <c r="K269" s="515" t="s">
        <v>92</v>
      </c>
      <c r="L269" s="516"/>
      <c r="M269" s="3"/>
      <c r="N269" s="517">
        <f>IF(I274=0,0,VLOOKUP(I274,C281:O340,6))</f>
        <v>1029393.0704763428</v>
      </c>
      <c r="O269" s="3"/>
    </row>
    <row r="270" spans="1:16" ht="13.5" thickBot="1">
      <c r="C270" s="518" t="s">
        <v>88</v>
      </c>
      <c r="D270" s="1194" t="s">
        <v>804</v>
      </c>
      <c r="E270" s="1194"/>
      <c r="F270" s="1194"/>
      <c r="G270" s="1194"/>
      <c r="H270" s="1194"/>
      <c r="I270" s="1194"/>
      <c r="J270" s="503"/>
      <c r="K270" s="519" t="s">
        <v>230</v>
      </c>
      <c r="L270" s="520"/>
      <c r="M270" s="520"/>
      <c r="N270" s="521">
        <f>+N269-N268</f>
        <v>0</v>
      </c>
      <c r="O270" s="3"/>
    </row>
    <row r="271" spans="1:16">
      <c r="C271" s="522"/>
      <c r="D271" s="523"/>
      <c r="E271" s="506"/>
      <c r="F271" s="506"/>
      <c r="G271" s="524"/>
      <c r="H271" s="490"/>
      <c r="I271" s="490"/>
      <c r="J271" s="503"/>
      <c r="K271" s="490"/>
      <c r="L271" s="490"/>
      <c r="M271" s="490"/>
      <c r="N271" s="490"/>
      <c r="O271" s="3"/>
    </row>
    <row r="272" spans="1:16" ht="13.5" thickBot="1">
      <c r="C272" s="522"/>
      <c r="D272" s="3"/>
      <c r="E272" s="524"/>
      <c r="F272" s="524"/>
      <c r="G272" s="524"/>
      <c r="H272" s="524"/>
      <c r="I272" s="524"/>
      <c r="J272" s="524"/>
      <c r="K272" s="524"/>
      <c r="L272" s="524"/>
      <c r="M272" s="524"/>
      <c r="N272" s="524"/>
      <c r="O272" s="3"/>
    </row>
    <row r="273" spans="2:15" ht="13.5" thickBot="1">
      <c r="C273" s="525" t="s">
        <v>89</v>
      </c>
      <c r="D273" s="526"/>
      <c r="E273" s="526"/>
      <c r="F273" s="526"/>
      <c r="G273" s="526"/>
      <c r="H273" s="526"/>
      <c r="I273" s="527"/>
      <c r="K273" s="3"/>
      <c r="L273" s="3"/>
      <c r="M273" s="3"/>
      <c r="N273" s="3"/>
      <c r="O273" s="3"/>
    </row>
    <row r="274" spans="2:15" ht="15">
      <c r="C274" s="528" t="s">
        <v>67</v>
      </c>
      <c r="D274" s="568">
        <v>8345674.5300000003</v>
      </c>
      <c r="E274" s="3" t="s">
        <v>68</v>
      </c>
      <c r="G274" s="47"/>
      <c r="H274" s="47"/>
      <c r="I274" s="529">
        <f>$L$26</f>
        <v>2026</v>
      </c>
      <c r="J274" s="70"/>
      <c r="K274" s="1193" t="s">
        <v>239</v>
      </c>
      <c r="L274" s="1193"/>
      <c r="M274" s="1193"/>
      <c r="N274" s="1193"/>
      <c r="O274" s="1193"/>
    </row>
    <row r="275" spans="2:15">
      <c r="C275" s="528" t="s">
        <v>70</v>
      </c>
      <c r="D275" s="569">
        <v>2013</v>
      </c>
      <c r="E275" s="528" t="s">
        <v>71</v>
      </c>
      <c r="F275" s="47"/>
      <c r="H275"/>
      <c r="I275" s="570">
        <f>IF(G268="",0,$F$17)</f>
        <v>0</v>
      </c>
      <c r="J275" s="530"/>
      <c r="K275" s="503" t="s">
        <v>239</v>
      </c>
    </row>
    <row r="276" spans="2:15">
      <c r="C276" s="528" t="s">
        <v>72</v>
      </c>
      <c r="D276" s="568">
        <v>11</v>
      </c>
      <c r="E276" s="528" t="s">
        <v>73</v>
      </c>
      <c r="F276" s="47"/>
      <c r="H276"/>
      <c r="I276" s="531">
        <f>$G$70</f>
        <v>0.14912278949438812</v>
      </c>
      <c r="J276" s="489"/>
      <c r="K276" t="str">
        <f>"          INPUT PROJECTED ARR (WITH &amp; WITHOUT INCENTIVES) FROM EACH PRIOR YEAR"</f>
        <v xml:space="preserve">          INPUT PROJECTED ARR (WITH &amp; WITHOUT INCENTIVES) FROM EACH PRIOR YEAR</v>
      </c>
    </row>
    <row r="277" spans="2:15">
      <c r="C277" s="528" t="s">
        <v>74</v>
      </c>
      <c r="D277" s="532">
        <f>$G$79</f>
        <v>34</v>
      </c>
      <c r="E277" s="528" t="s">
        <v>75</v>
      </c>
      <c r="F277" s="47"/>
      <c r="H277"/>
      <c r="I277" s="531">
        <f>IF(G268="",I276,$G$69)</f>
        <v>0.14912278949438812</v>
      </c>
      <c r="J277" s="489"/>
      <c r="K277" t="s">
        <v>152</v>
      </c>
    </row>
    <row r="278" spans="2:15" ht="13.5" thickBot="1">
      <c r="C278" s="528" t="s">
        <v>76</v>
      </c>
      <c r="D278" s="567" t="s">
        <v>802</v>
      </c>
      <c r="E278" s="533" t="s">
        <v>77</v>
      </c>
      <c r="F278" s="534"/>
      <c r="G278" s="535"/>
      <c r="H278" s="535"/>
      <c r="I278" s="521">
        <f>IF(D274=0,0,D274/D277)</f>
        <v>245461.01558823531</v>
      </c>
      <c r="J278" s="503"/>
      <c r="K278" s="503" t="s">
        <v>158</v>
      </c>
      <c r="L278" s="503"/>
      <c r="M278" s="503"/>
      <c r="N278" s="503"/>
      <c r="O278" s="3"/>
    </row>
    <row r="279" spans="2:15" ht="38.25">
      <c r="B279" s="450"/>
      <c r="C279" s="536" t="s">
        <v>67</v>
      </c>
      <c r="D279" s="537" t="s">
        <v>78</v>
      </c>
      <c r="E279" s="538" t="s">
        <v>79</v>
      </c>
      <c r="F279" s="537" t="s">
        <v>80</v>
      </c>
      <c r="G279" s="538" t="s">
        <v>151</v>
      </c>
      <c r="H279" s="539" t="s">
        <v>151</v>
      </c>
      <c r="I279" s="536" t="s">
        <v>90</v>
      </c>
      <c r="J279" s="540"/>
      <c r="K279" s="538" t="s">
        <v>160</v>
      </c>
      <c r="L279" s="541"/>
      <c r="M279" s="538" t="s">
        <v>160</v>
      </c>
      <c r="N279" s="541"/>
      <c r="O279" s="541"/>
    </row>
    <row r="280" spans="2:15" ht="13.5" thickBot="1">
      <c r="C280" s="542" t="s">
        <v>467</v>
      </c>
      <c r="D280" s="543" t="s">
        <v>468</v>
      </c>
      <c r="E280" s="542" t="s">
        <v>361</v>
      </c>
      <c r="F280" s="543" t="s">
        <v>468</v>
      </c>
      <c r="G280" s="544" t="s">
        <v>93</v>
      </c>
      <c r="H280" s="545" t="s">
        <v>95</v>
      </c>
      <c r="I280" s="542" t="s">
        <v>15</v>
      </c>
      <c r="J280" s="546"/>
      <c r="K280" s="544" t="s">
        <v>82</v>
      </c>
      <c r="L280" s="547"/>
      <c r="M280" s="544" t="s">
        <v>95</v>
      </c>
      <c r="N280" s="547"/>
      <c r="O280" s="547"/>
    </row>
    <row r="281" spans="2:15">
      <c r="C281" s="548">
        <f>IF(D275= "","-",D275)</f>
        <v>2013</v>
      </c>
      <c r="D281" s="506">
        <f>+D274</f>
        <v>8345674.5300000003</v>
      </c>
      <c r="E281" s="549">
        <f>+I278/12*(12-D276)</f>
        <v>20455.084632352944</v>
      </c>
      <c r="F281" s="506">
        <f>+D281-E281</f>
        <v>8325219.4453676473</v>
      </c>
      <c r="G281" s="723">
        <f>+$I$96*((D281+F281)/2)+E281</f>
        <v>1263460.1911183593</v>
      </c>
      <c r="H281" s="724">
        <f>$I$97*((D281+F281)/2)+E281</f>
        <v>1263460.1911183593</v>
      </c>
      <c r="I281" s="552">
        <f>+H281-G281</f>
        <v>0</v>
      </c>
      <c r="J281" s="552"/>
      <c r="K281" s="571">
        <v>443007</v>
      </c>
      <c r="L281" s="553"/>
      <c r="M281" s="571">
        <v>443007</v>
      </c>
      <c r="N281" s="553"/>
      <c r="O281" s="553"/>
    </row>
    <row r="282" spans="2:15">
      <c r="C282" s="548">
        <f>IF(D275="","-",+C281+1)</f>
        <v>2014</v>
      </c>
      <c r="D282" s="506">
        <f t="shared" ref="D282:D340" si="12">F281</f>
        <v>8325219.4453676473</v>
      </c>
      <c r="E282" s="549">
        <f>IF(D282&gt;$I$278,$I$278,D282)</f>
        <v>245461.01558823531</v>
      </c>
      <c r="F282" s="506">
        <f t="shared" ref="F282:F340" si="13">+D282-E282</f>
        <v>8079758.4297794122</v>
      </c>
      <c r="G282" s="554">
        <f t="shared" ref="G282:G340" si="14">+$I$96*((D282+F282)/2)+E282</f>
        <v>1468639.0467560601</v>
      </c>
      <c r="H282" s="555">
        <f t="shared" ref="H282:H340" si="15">$I$97*((D282+F282)/2)+E282</f>
        <v>1468639.0467560601</v>
      </c>
      <c r="I282" s="552">
        <f t="shared" ref="I282:I340" si="16">+H282-G282</f>
        <v>0</v>
      </c>
      <c r="J282" s="552"/>
      <c r="K282" s="572">
        <v>964332</v>
      </c>
      <c r="L282" s="556"/>
      <c r="M282" s="572">
        <v>964332</v>
      </c>
      <c r="N282" s="556"/>
      <c r="O282" s="556"/>
    </row>
    <row r="283" spans="2:15">
      <c r="C283" s="548">
        <f>IF(D275="","-",+C282+1)</f>
        <v>2015</v>
      </c>
      <c r="D283" s="506">
        <f t="shared" si="12"/>
        <v>8079758.4297794122</v>
      </c>
      <c r="E283" s="549">
        <f t="shared" ref="E283:E340" si="17">IF(D283&gt;$I$278,$I$278,D283)</f>
        <v>245461.01558823531</v>
      </c>
      <c r="F283" s="506">
        <f t="shared" si="13"/>
        <v>7834297.4141911771</v>
      </c>
      <c r="G283" s="554">
        <f t="shared" si="14"/>
        <v>1432035.2153994169</v>
      </c>
      <c r="H283" s="555">
        <f t="shared" si="15"/>
        <v>1432035.2153994169</v>
      </c>
      <c r="I283" s="552">
        <f t="shared" si="16"/>
        <v>0</v>
      </c>
      <c r="J283" s="552"/>
      <c r="K283" s="572">
        <v>1065163</v>
      </c>
      <c r="L283" s="556"/>
      <c r="M283" s="572">
        <v>1065163</v>
      </c>
      <c r="N283" s="556"/>
      <c r="O283" s="556"/>
    </row>
    <row r="284" spans="2:15">
      <c r="C284" s="548">
        <f>IF(D275="","-",+C283+1)</f>
        <v>2016</v>
      </c>
      <c r="D284" s="506">
        <f t="shared" si="12"/>
        <v>7834297.4141911771</v>
      </c>
      <c r="E284" s="549">
        <f t="shared" si="17"/>
        <v>245461.01558823531</v>
      </c>
      <c r="F284" s="506">
        <f t="shared" si="13"/>
        <v>7588836.398602942</v>
      </c>
      <c r="G284" s="554">
        <f t="shared" si="14"/>
        <v>1395431.3840427739</v>
      </c>
      <c r="H284" s="555">
        <f t="shared" si="15"/>
        <v>1395431.3840427739</v>
      </c>
      <c r="I284" s="552">
        <f t="shared" si="16"/>
        <v>0</v>
      </c>
      <c r="J284" s="552"/>
      <c r="K284" s="572">
        <v>1173750</v>
      </c>
      <c r="L284" s="556"/>
      <c r="M284" s="572">
        <v>1173750</v>
      </c>
      <c r="N284" s="556"/>
      <c r="O284" s="556"/>
    </row>
    <row r="285" spans="2:15">
      <c r="C285" s="548">
        <f>IF(D275="","-",+C284+1)</f>
        <v>2017</v>
      </c>
      <c r="D285" s="506">
        <f t="shared" si="12"/>
        <v>7588836.398602942</v>
      </c>
      <c r="E285" s="549">
        <f t="shared" si="17"/>
        <v>245461.01558823531</v>
      </c>
      <c r="F285" s="506">
        <f t="shared" si="13"/>
        <v>7343375.3830147069</v>
      </c>
      <c r="G285" s="554">
        <f t="shared" si="14"/>
        <v>1358827.5526861309</v>
      </c>
      <c r="H285" s="555">
        <f t="shared" si="15"/>
        <v>1358827.5526861309</v>
      </c>
      <c r="I285" s="552">
        <f t="shared" si="16"/>
        <v>0</v>
      </c>
      <c r="J285" s="552"/>
      <c r="K285" s="572">
        <v>1404427</v>
      </c>
      <c r="L285" s="556"/>
      <c r="M285" s="572">
        <v>1404427</v>
      </c>
      <c r="N285" s="556"/>
      <c r="O285" s="556"/>
    </row>
    <row r="286" spans="2:15">
      <c r="C286" s="974">
        <f>IF(D275="","-",+C285+1)</f>
        <v>2018</v>
      </c>
      <c r="D286" s="506">
        <f t="shared" si="12"/>
        <v>7343375.3830147069</v>
      </c>
      <c r="E286" s="549">
        <f t="shared" si="17"/>
        <v>245461.01558823531</v>
      </c>
      <c r="F286" s="506">
        <f t="shared" si="13"/>
        <v>7097914.3674264718</v>
      </c>
      <c r="G286" s="554">
        <f t="shared" si="14"/>
        <v>1322223.7213294876</v>
      </c>
      <c r="H286" s="555">
        <f t="shared" si="15"/>
        <v>1322223.7213294876</v>
      </c>
      <c r="I286" s="552">
        <f t="shared" si="16"/>
        <v>0</v>
      </c>
      <c r="J286" s="552"/>
      <c r="K286" s="572">
        <v>1247990</v>
      </c>
      <c r="L286" s="556"/>
      <c r="M286" s="572">
        <v>1247990</v>
      </c>
      <c r="N286" s="556"/>
      <c r="O286" s="556"/>
    </row>
    <row r="287" spans="2:15">
      <c r="C287" s="974">
        <f>IF(D275="","-",+C286+1)</f>
        <v>2019</v>
      </c>
      <c r="D287" s="506">
        <f t="shared" si="12"/>
        <v>7097914.3674264718</v>
      </c>
      <c r="E287" s="549">
        <f t="shared" si="17"/>
        <v>245461.01558823531</v>
      </c>
      <c r="F287" s="506">
        <f t="shared" si="13"/>
        <v>6852453.3518382367</v>
      </c>
      <c r="G287" s="554">
        <f t="shared" si="14"/>
        <v>1285619.8899728444</v>
      </c>
      <c r="H287" s="555">
        <f t="shared" si="15"/>
        <v>1285619.8899728444</v>
      </c>
      <c r="I287" s="552">
        <f t="shared" si="16"/>
        <v>0</v>
      </c>
      <c r="J287" s="552"/>
      <c r="K287" s="572">
        <v>1276918.4756604563</v>
      </c>
      <c r="L287" s="556"/>
      <c r="M287" s="572">
        <v>1276918.4756604563</v>
      </c>
      <c r="N287" s="556"/>
      <c r="O287" s="556"/>
    </row>
    <row r="288" spans="2:15">
      <c r="C288" s="974">
        <f>IF(D275="","-",+C287+1)</f>
        <v>2020</v>
      </c>
      <c r="D288" s="506">
        <f t="shared" si="12"/>
        <v>6852453.3518382367</v>
      </c>
      <c r="E288" s="549">
        <f t="shared" si="17"/>
        <v>245461.01558823531</v>
      </c>
      <c r="F288" s="506">
        <f t="shared" si="13"/>
        <v>6606992.3362500016</v>
      </c>
      <c r="G288" s="554">
        <f t="shared" si="14"/>
        <v>1249016.0586162014</v>
      </c>
      <c r="H288" s="555">
        <f t="shared" si="15"/>
        <v>1249016.0586162014</v>
      </c>
      <c r="I288" s="552">
        <f t="shared" si="16"/>
        <v>0</v>
      </c>
      <c r="J288" s="552"/>
      <c r="K288" s="572">
        <v>1334246.8269181957</v>
      </c>
      <c r="L288" s="556"/>
      <c r="M288" s="572">
        <v>1334246.8269181957</v>
      </c>
      <c r="N288" s="556"/>
      <c r="O288" s="556"/>
    </row>
    <row r="289" spans="3:15">
      <c r="C289" s="974">
        <f>IF(D275="","-",+C288+1)</f>
        <v>2021</v>
      </c>
      <c r="D289" s="506">
        <f t="shared" si="12"/>
        <v>6606992.3362500016</v>
      </c>
      <c r="E289" s="549">
        <f t="shared" si="17"/>
        <v>245461.01558823531</v>
      </c>
      <c r="F289" s="506">
        <f t="shared" si="13"/>
        <v>6361531.3206617665</v>
      </c>
      <c r="G289" s="554">
        <f t="shared" si="14"/>
        <v>1212412.2272595584</v>
      </c>
      <c r="H289" s="555">
        <f t="shared" si="15"/>
        <v>1212412.2272595584</v>
      </c>
      <c r="I289" s="552">
        <f t="shared" si="16"/>
        <v>0</v>
      </c>
      <c r="J289" s="552"/>
      <c r="K289" s="572">
        <v>1200102.0351284449</v>
      </c>
      <c r="L289" s="556"/>
      <c r="M289" s="572">
        <v>1200102.0351284449</v>
      </c>
      <c r="N289" s="556"/>
      <c r="O289" s="556"/>
    </row>
    <row r="290" spans="3:15">
      <c r="C290" s="974">
        <f>IF(D275="","-",+C289+1)</f>
        <v>2022</v>
      </c>
      <c r="D290" s="506">
        <f t="shared" si="12"/>
        <v>6361531.3206617665</v>
      </c>
      <c r="E290" s="549">
        <f t="shared" si="17"/>
        <v>245461.01558823531</v>
      </c>
      <c r="F290" s="506">
        <f t="shared" si="13"/>
        <v>6116070.3050735313</v>
      </c>
      <c r="G290" s="554">
        <f t="shared" si="14"/>
        <v>1175808.3959029152</v>
      </c>
      <c r="H290" s="555">
        <f t="shared" si="15"/>
        <v>1175808.3959029152</v>
      </c>
      <c r="I290" s="552">
        <f t="shared" si="16"/>
        <v>0</v>
      </c>
      <c r="J290" s="552"/>
      <c r="K290" s="572">
        <v>1195931.704278951</v>
      </c>
      <c r="L290" s="556"/>
      <c r="M290" s="572">
        <v>1195931.704278951</v>
      </c>
      <c r="N290" s="556"/>
      <c r="O290" s="556"/>
    </row>
    <row r="291" spans="3:15">
      <c r="C291" s="974">
        <f>IF(D275="","-",+C290+1)</f>
        <v>2023</v>
      </c>
      <c r="D291" s="506">
        <f t="shared" si="12"/>
        <v>6116070.3050735313</v>
      </c>
      <c r="E291" s="549">
        <f t="shared" si="17"/>
        <v>245461.01558823531</v>
      </c>
      <c r="F291" s="506">
        <f t="shared" si="13"/>
        <v>5870609.2894852962</v>
      </c>
      <c r="G291" s="554">
        <f t="shared" si="14"/>
        <v>1139204.5645462722</v>
      </c>
      <c r="H291" s="555">
        <f t="shared" si="15"/>
        <v>1139204.5645462722</v>
      </c>
      <c r="I291" s="552">
        <f t="shared" si="16"/>
        <v>0</v>
      </c>
      <c r="J291" s="552"/>
      <c r="K291" s="572">
        <v>1163116.7349995445</v>
      </c>
      <c r="L291" s="556"/>
      <c r="M291" s="572">
        <v>1163116.7349995445</v>
      </c>
      <c r="N291" s="556"/>
      <c r="O291" s="556"/>
    </row>
    <row r="292" spans="3:15">
      <c r="C292" s="548">
        <f>IF(D275="","-",+C291+1)</f>
        <v>2024</v>
      </c>
      <c r="D292" s="506">
        <f t="shared" si="12"/>
        <v>5870609.2894852962</v>
      </c>
      <c r="E292" s="549">
        <f t="shared" si="17"/>
        <v>245461.01558823531</v>
      </c>
      <c r="F292" s="506">
        <f t="shared" si="13"/>
        <v>5625148.2738970611</v>
      </c>
      <c r="G292" s="554">
        <f t="shared" si="14"/>
        <v>1102600.7331896289</v>
      </c>
      <c r="H292" s="555">
        <f t="shared" si="15"/>
        <v>1102600.7331896289</v>
      </c>
      <c r="I292" s="552">
        <f t="shared" si="16"/>
        <v>0</v>
      </c>
      <c r="J292" s="552"/>
      <c r="K292" s="572">
        <v>1109745.2348540814</v>
      </c>
      <c r="L292" s="556"/>
      <c r="M292" s="572">
        <v>1109745.2348540814</v>
      </c>
      <c r="N292" s="556"/>
      <c r="O292" s="556"/>
    </row>
    <row r="293" spans="3:15">
      <c r="C293" s="548">
        <f>IF(D275="","-",+C292+1)</f>
        <v>2025</v>
      </c>
      <c r="D293" s="506">
        <f t="shared" si="12"/>
        <v>5625148.2738970611</v>
      </c>
      <c r="E293" s="549">
        <f t="shared" si="17"/>
        <v>245461.01558823531</v>
      </c>
      <c r="F293" s="506">
        <f t="shared" si="13"/>
        <v>5379687.258308826</v>
      </c>
      <c r="G293" s="554">
        <f t="shared" si="14"/>
        <v>1065996.9018329859</v>
      </c>
      <c r="H293" s="555">
        <f t="shared" si="15"/>
        <v>1065996.9018329859</v>
      </c>
      <c r="I293" s="552">
        <f t="shared" si="16"/>
        <v>0</v>
      </c>
      <c r="J293" s="552"/>
      <c r="K293" s="572">
        <v>1070906.8895023649</v>
      </c>
      <c r="L293" s="556"/>
      <c r="M293" s="572">
        <v>1070906.8895023649</v>
      </c>
      <c r="N293" s="557"/>
      <c r="O293" s="556"/>
    </row>
    <row r="294" spans="3:15">
      <c r="C294" s="955">
        <f>IF(D275="","-",+C293+1)</f>
        <v>2026</v>
      </c>
      <c r="D294" s="506">
        <f t="shared" si="12"/>
        <v>5379687.258308826</v>
      </c>
      <c r="E294" s="549">
        <f t="shared" si="17"/>
        <v>245461.01558823531</v>
      </c>
      <c r="F294" s="506">
        <f t="shared" si="13"/>
        <v>5134226.2427205909</v>
      </c>
      <c r="G294" s="554">
        <f t="shared" si="14"/>
        <v>1029393.0704763428</v>
      </c>
      <c r="H294" s="555">
        <f t="shared" si="15"/>
        <v>1029393.0704763428</v>
      </c>
      <c r="I294" s="552">
        <f t="shared" si="16"/>
        <v>0</v>
      </c>
      <c r="J294" s="552"/>
      <c r="K294" s="572"/>
      <c r="L294" s="556"/>
      <c r="M294" s="572"/>
      <c r="N294" s="556"/>
      <c r="O294" s="556"/>
    </row>
    <row r="295" spans="3:15">
      <c r="C295" s="548">
        <f>IF(D275="","-",+C294+1)</f>
        <v>2027</v>
      </c>
      <c r="D295" s="506">
        <f t="shared" si="12"/>
        <v>5134226.2427205909</v>
      </c>
      <c r="E295" s="549">
        <f t="shared" si="17"/>
        <v>245461.01558823531</v>
      </c>
      <c r="F295" s="506">
        <f t="shared" si="13"/>
        <v>4888765.2271323558</v>
      </c>
      <c r="G295" s="554">
        <f t="shared" si="14"/>
        <v>992789.23911969969</v>
      </c>
      <c r="H295" s="555">
        <f t="shared" si="15"/>
        <v>992789.23911969969</v>
      </c>
      <c r="I295" s="552">
        <f t="shared" si="16"/>
        <v>0</v>
      </c>
      <c r="J295" s="552"/>
      <c r="K295" s="572"/>
      <c r="L295" s="556"/>
      <c r="M295" s="572"/>
      <c r="N295" s="556"/>
      <c r="O295" s="556"/>
    </row>
    <row r="296" spans="3:15">
      <c r="C296" s="548">
        <f>IF(D275="","-",+C295+1)</f>
        <v>2028</v>
      </c>
      <c r="D296" s="506">
        <f t="shared" si="12"/>
        <v>4888765.2271323558</v>
      </c>
      <c r="E296" s="549">
        <f t="shared" si="17"/>
        <v>245461.01558823531</v>
      </c>
      <c r="F296" s="506">
        <f t="shared" si="13"/>
        <v>4643304.2115441207</v>
      </c>
      <c r="G296" s="554">
        <f t="shared" si="14"/>
        <v>956185.40776305657</v>
      </c>
      <c r="H296" s="555">
        <f t="shared" si="15"/>
        <v>956185.40776305657</v>
      </c>
      <c r="I296" s="552">
        <f t="shared" si="16"/>
        <v>0</v>
      </c>
      <c r="J296" s="552"/>
      <c r="K296" s="572"/>
      <c r="L296" s="556"/>
      <c r="M296" s="572"/>
      <c r="N296" s="556"/>
      <c r="O296" s="556"/>
    </row>
    <row r="297" spans="3:15">
      <c r="C297" s="548">
        <f>IF(D275="","-",+C296+1)</f>
        <v>2029</v>
      </c>
      <c r="D297" s="506">
        <f t="shared" si="12"/>
        <v>4643304.2115441207</v>
      </c>
      <c r="E297" s="549">
        <f t="shared" si="17"/>
        <v>245461.01558823531</v>
      </c>
      <c r="F297" s="506">
        <f t="shared" si="13"/>
        <v>4397843.1959558856</v>
      </c>
      <c r="G297" s="554">
        <f t="shared" si="14"/>
        <v>919581.57640641346</v>
      </c>
      <c r="H297" s="555">
        <f t="shared" si="15"/>
        <v>919581.57640641346</v>
      </c>
      <c r="I297" s="552">
        <f t="shared" si="16"/>
        <v>0</v>
      </c>
      <c r="J297" s="552"/>
      <c r="K297" s="572"/>
      <c r="L297" s="556"/>
      <c r="M297" s="572"/>
      <c r="N297" s="556"/>
      <c r="O297" s="556"/>
    </row>
    <row r="298" spans="3:15">
      <c r="C298" s="548">
        <f>IF(D275="","-",+C297+1)</f>
        <v>2030</v>
      </c>
      <c r="D298" s="506">
        <f t="shared" si="12"/>
        <v>4397843.1959558856</v>
      </c>
      <c r="E298" s="549">
        <f t="shared" si="17"/>
        <v>245461.01558823531</v>
      </c>
      <c r="F298" s="506">
        <f t="shared" si="13"/>
        <v>4152382.1803676505</v>
      </c>
      <c r="G298" s="554">
        <f t="shared" si="14"/>
        <v>882977.74504977034</v>
      </c>
      <c r="H298" s="555">
        <f t="shared" si="15"/>
        <v>882977.74504977034</v>
      </c>
      <c r="I298" s="552">
        <f t="shared" si="16"/>
        <v>0</v>
      </c>
      <c r="J298" s="552"/>
      <c r="K298" s="572"/>
      <c r="L298" s="556"/>
      <c r="M298" s="572"/>
      <c r="N298" s="556"/>
      <c r="O298" s="556"/>
    </row>
    <row r="299" spans="3:15">
      <c r="C299" s="548">
        <f>IF(D275="","-",+C298+1)</f>
        <v>2031</v>
      </c>
      <c r="D299" s="506">
        <f t="shared" si="12"/>
        <v>4152382.1803676505</v>
      </c>
      <c r="E299" s="549">
        <f t="shared" si="17"/>
        <v>245461.01558823531</v>
      </c>
      <c r="F299" s="506">
        <f t="shared" si="13"/>
        <v>3906921.1647794154</v>
      </c>
      <c r="G299" s="554">
        <f t="shared" si="14"/>
        <v>846373.91369312734</v>
      </c>
      <c r="H299" s="555">
        <f t="shared" si="15"/>
        <v>846373.91369312734</v>
      </c>
      <c r="I299" s="552">
        <f t="shared" si="16"/>
        <v>0</v>
      </c>
      <c r="J299" s="552"/>
      <c r="K299" s="572"/>
      <c r="L299" s="556"/>
      <c r="M299" s="572"/>
      <c r="N299" s="556"/>
      <c r="O299" s="556"/>
    </row>
    <row r="300" spans="3:15">
      <c r="C300" s="548">
        <f>IF(D275="","-",+C299+1)</f>
        <v>2032</v>
      </c>
      <c r="D300" s="506">
        <f t="shared" si="12"/>
        <v>3906921.1647794154</v>
      </c>
      <c r="E300" s="549">
        <f t="shared" si="17"/>
        <v>245461.01558823531</v>
      </c>
      <c r="F300" s="506">
        <f t="shared" si="13"/>
        <v>3661460.1491911802</v>
      </c>
      <c r="G300" s="554">
        <f t="shared" si="14"/>
        <v>809770.08233648422</v>
      </c>
      <c r="H300" s="555">
        <f t="shared" si="15"/>
        <v>809770.08233648422</v>
      </c>
      <c r="I300" s="552">
        <f t="shared" si="16"/>
        <v>0</v>
      </c>
      <c r="J300" s="552"/>
      <c r="K300" s="572"/>
      <c r="L300" s="556"/>
      <c r="M300" s="572"/>
      <c r="N300" s="556"/>
      <c r="O300" s="556"/>
    </row>
    <row r="301" spans="3:15">
      <c r="C301" s="548">
        <f>IF(D275="","-",+C300+1)</f>
        <v>2033</v>
      </c>
      <c r="D301" s="506">
        <f t="shared" si="12"/>
        <v>3661460.1491911802</v>
      </c>
      <c r="E301" s="549">
        <f t="shared" si="17"/>
        <v>245461.01558823531</v>
      </c>
      <c r="F301" s="506">
        <f t="shared" si="13"/>
        <v>3415999.1336029451</v>
      </c>
      <c r="G301" s="554">
        <f t="shared" si="14"/>
        <v>773166.2509798411</v>
      </c>
      <c r="H301" s="555">
        <f t="shared" si="15"/>
        <v>773166.2509798411</v>
      </c>
      <c r="I301" s="552">
        <f t="shared" si="16"/>
        <v>0</v>
      </c>
      <c r="J301" s="552"/>
      <c r="K301" s="572"/>
      <c r="L301" s="556"/>
      <c r="M301" s="572"/>
      <c r="N301" s="556"/>
      <c r="O301" s="556"/>
    </row>
    <row r="302" spans="3:15">
      <c r="C302" s="548">
        <f>IF(D275="","-",+C301+1)</f>
        <v>2034</v>
      </c>
      <c r="D302" s="506">
        <f t="shared" si="12"/>
        <v>3415999.1336029451</v>
      </c>
      <c r="E302" s="549">
        <f t="shared" si="17"/>
        <v>245461.01558823531</v>
      </c>
      <c r="F302" s="506">
        <f t="shared" si="13"/>
        <v>3170538.11801471</v>
      </c>
      <c r="G302" s="554">
        <f t="shared" si="14"/>
        <v>736562.41962319799</v>
      </c>
      <c r="H302" s="555">
        <f t="shared" si="15"/>
        <v>736562.41962319799</v>
      </c>
      <c r="I302" s="552">
        <f t="shared" si="16"/>
        <v>0</v>
      </c>
      <c r="J302" s="552"/>
      <c r="K302" s="572"/>
      <c r="L302" s="556"/>
      <c r="M302" s="572"/>
      <c r="N302" s="556"/>
      <c r="O302" s="556"/>
    </row>
    <row r="303" spans="3:15">
      <c r="C303" s="548">
        <f>IF(D275="","-",+C302+1)</f>
        <v>2035</v>
      </c>
      <c r="D303" s="506">
        <f t="shared" si="12"/>
        <v>3170538.11801471</v>
      </c>
      <c r="E303" s="549">
        <f t="shared" si="17"/>
        <v>245461.01558823531</v>
      </c>
      <c r="F303" s="506">
        <f t="shared" si="13"/>
        <v>2925077.1024264749</v>
      </c>
      <c r="G303" s="554">
        <f t="shared" si="14"/>
        <v>699958.58826655487</v>
      </c>
      <c r="H303" s="555">
        <f t="shared" si="15"/>
        <v>699958.58826655487</v>
      </c>
      <c r="I303" s="552">
        <f t="shared" si="16"/>
        <v>0</v>
      </c>
      <c r="J303" s="552"/>
      <c r="K303" s="572"/>
      <c r="L303" s="556"/>
      <c r="M303" s="572"/>
      <c r="N303" s="556"/>
      <c r="O303" s="556"/>
    </row>
    <row r="304" spans="3:15">
      <c r="C304" s="548">
        <f>IF(D275="","-",+C303+1)</f>
        <v>2036</v>
      </c>
      <c r="D304" s="506">
        <f t="shared" si="12"/>
        <v>2925077.1024264749</v>
      </c>
      <c r="E304" s="549">
        <f t="shared" si="17"/>
        <v>245461.01558823531</v>
      </c>
      <c r="F304" s="506">
        <f t="shared" si="13"/>
        <v>2679616.0868382398</v>
      </c>
      <c r="G304" s="554">
        <f t="shared" si="14"/>
        <v>663354.75690991175</v>
      </c>
      <c r="H304" s="555">
        <f t="shared" si="15"/>
        <v>663354.75690991175</v>
      </c>
      <c r="I304" s="552">
        <f t="shared" si="16"/>
        <v>0</v>
      </c>
      <c r="J304" s="552"/>
      <c r="K304" s="572"/>
      <c r="L304" s="556"/>
      <c r="M304" s="572"/>
      <c r="N304" s="556"/>
      <c r="O304" s="556"/>
    </row>
    <row r="305" spans="3:15">
      <c r="C305" s="548">
        <f>IF(D275="","-",+C304+1)</f>
        <v>2037</v>
      </c>
      <c r="D305" s="506">
        <f t="shared" si="12"/>
        <v>2679616.0868382398</v>
      </c>
      <c r="E305" s="549">
        <f t="shared" si="17"/>
        <v>245461.01558823531</v>
      </c>
      <c r="F305" s="506">
        <f t="shared" si="13"/>
        <v>2434155.0712500047</v>
      </c>
      <c r="G305" s="554">
        <f t="shared" si="14"/>
        <v>626750.92555326864</v>
      </c>
      <c r="H305" s="555">
        <f t="shared" si="15"/>
        <v>626750.92555326864</v>
      </c>
      <c r="I305" s="552">
        <f t="shared" si="16"/>
        <v>0</v>
      </c>
      <c r="J305" s="552"/>
      <c r="K305" s="572"/>
      <c r="L305" s="556"/>
      <c r="M305" s="572"/>
      <c r="N305" s="556"/>
      <c r="O305" s="556"/>
    </row>
    <row r="306" spans="3:15">
      <c r="C306" s="548">
        <f>IF(D275="","-",+C305+1)</f>
        <v>2038</v>
      </c>
      <c r="D306" s="506">
        <f t="shared" si="12"/>
        <v>2434155.0712500047</v>
      </c>
      <c r="E306" s="549">
        <f t="shared" si="17"/>
        <v>245461.01558823531</v>
      </c>
      <c r="F306" s="506">
        <f t="shared" si="13"/>
        <v>2188694.0556617696</v>
      </c>
      <c r="G306" s="554">
        <f t="shared" si="14"/>
        <v>590147.09419662552</v>
      </c>
      <c r="H306" s="555">
        <f t="shared" si="15"/>
        <v>590147.09419662552</v>
      </c>
      <c r="I306" s="552">
        <f t="shared" si="16"/>
        <v>0</v>
      </c>
      <c r="J306" s="552"/>
      <c r="K306" s="572"/>
      <c r="L306" s="556"/>
      <c r="M306" s="572"/>
      <c r="N306" s="556"/>
      <c r="O306" s="556"/>
    </row>
    <row r="307" spans="3:15">
      <c r="C307" s="548">
        <f>IF(D275="","-",+C306+1)</f>
        <v>2039</v>
      </c>
      <c r="D307" s="506">
        <f t="shared" si="12"/>
        <v>2188694.0556617696</v>
      </c>
      <c r="E307" s="549">
        <f t="shared" si="17"/>
        <v>245461.01558823531</v>
      </c>
      <c r="F307" s="506">
        <f t="shared" si="13"/>
        <v>1943233.0400735342</v>
      </c>
      <c r="G307" s="554">
        <f t="shared" si="14"/>
        <v>553543.2628399824</v>
      </c>
      <c r="H307" s="555">
        <f t="shared" si="15"/>
        <v>553543.2628399824</v>
      </c>
      <c r="I307" s="552">
        <f t="shared" si="16"/>
        <v>0</v>
      </c>
      <c r="J307" s="552"/>
      <c r="K307" s="572"/>
      <c r="L307" s="556"/>
      <c r="M307" s="572"/>
      <c r="N307" s="556"/>
      <c r="O307" s="556"/>
    </row>
    <row r="308" spans="3:15">
      <c r="C308" s="548">
        <f>IF(D275="","-",+C307+1)</f>
        <v>2040</v>
      </c>
      <c r="D308" s="506">
        <f t="shared" si="12"/>
        <v>1943233.0400735342</v>
      </c>
      <c r="E308" s="549">
        <f t="shared" si="17"/>
        <v>245461.01558823531</v>
      </c>
      <c r="F308" s="506">
        <f t="shared" si="13"/>
        <v>1697772.0244852989</v>
      </c>
      <c r="G308" s="554">
        <f t="shared" si="14"/>
        <v>516939.43148333929</v>
      </c>
      <c r="H308" s="555">
        <f t="shared" si="15"/>
        <v>516939.43148333929</v>
      </c>
      <c r="I308" s="552">
        <f t="shared" si="16"/>
        <v>0</v>
      </c>
      <c r="J308" s="552"/>
      <c r="K308" s="572"/>
      <c r="L308" s="556"/>
      <c r="M308" s="572"/>
      <c r="N308" s="556"/>
      <c r="O308" s="556"/>
    </row>
    <row r="309" spans="3:15">
      <c r="C309" s="548">
        <f>IF(D275="","-",+C308+1)</f>
        <v>2041</v>
      </c>
      <c r="D309" s="506">
        <f t="shared" si="12"/>
        <v>1697772.0244852989</v>
      </c>
      <c r="E309" s="549">
        <f t="shared" si="17"/>
        <v>245461.01558823531</v>
      </c>
      <c r="F309" s="506">
        <f t="shared" si="13"/>
        <v>1452311.0088970636</v>
      </c>
      <c r="G309" s="550">
        <f t="shared" si="14"/>
        <v>480335.60012669617</v>
      </c>
      <c r="H309" s="555">
        <f t="shared" si="15"/>
        <v>480335.60012669617</v>
      </c>
      <c r="I309" s="552">
        <f t="shared" si="16"/>
        <v>0</v>
      </c>
      <c r="J309" s="552"/>
      <c r="K309" s="572"/>
      <c r="L309" s="556"/>
      <c r="M309" s="572"/>
      <c r="N309" s="556"/>
      <c r="O309" s="556"/>
    </row>
    <row r="310" spans="3:15">
      <c r="C310" s="548">
        <f>IF(D275="","-",+C309+1)</f>
        <v>2042</v>
      </c>
      <c r="D310" s="506">
        <f t="shared" si="12"/>
        <v>1452311.0088970636</v>
      </c>
      <c r="E310" s="549">
        <f t="shared" si="17"/>
        <v>245461.01558823531</v>
      </c>
      <c r="F310" s="506">
        <f t="shared" si="13"/>
        <v>1206849.9933088282</v>
      </c>
      <c r="G310" s="554">
        <f t="shared" si="14"/>
        <v>443731.76877005293</v>
      </c>
      <c r="H310" s="555">
        <f t="shared" si="15"/>
        <v>443731.76877005293</v>
      </c>
      <c r="I310" s="552">
        <f t="shared" si="16"/>
        <v>0</v>
      </c>
      <c r="J310" s="552"/>
      <c r="K310" s="572"/>
      <c r="L310" s="556"/>
      <c r="M310" s="572"/>
      <c r="N310" s="556"/>
      <c r="O310" s="556"/>
    </row>
    <row r="311" spans="3:15">
      <c r="C311" s="548">
        <f>IF(D275="","-",+C310+1)</f>
        <v>2043</v>
      </c>
      <c r="D311" s="506">
        <f t="shared" si="12"/>
        <v>1206849.9933088282</v>
      </c>
      <c r="E311" s="549">
        <f t="shared" si="17"/>
        <v>245461.01558823531</v>
      </c>
      <c r="F311" s="506">
        <f t="shared" si="13"/>
        <v>961388.97772059287</v>
      </c>
      <c r="G311" s="554">
        <f t="shared" si="14"/>
        <v>407127.93741340982</v>
      </c>
      <c r="H311" s="555">
        <f t="shared" si="15"/>
        <v>407127.93741340982</v>
      </c>
      <c r="I311" s="552">
        <f t="shared" si="16"/>
        <v>0</v>
      </c>
      <c r="J311" s="552"/>
      <c r="K311" s="572"/>
      <c r="L311" s="556"/>
      <c r="M311" s="572"/>
      <c r="N311" s="556"/>
      <c r="O311" s="556"/>
    </row>
    <row r="312" spans="3:15">
      <c r="C312" s="548">
        <f>IF(D275="","-",+C311+1)</f>
        <v>2044</v>
      </c>
      <c r="D312" s="506">
        <f t="shared" si="12"/>
        <v>961388.97772059287</v>
      </c>
      <c r="E312" s="549">
        <f t="shared" si="17"/>
        <v>245461.01558823531</v>
      </c>
      <c r="F312" s="506">
        <f t="shared" si="13"/>
        <v>715927.96213235753</v>
      </c>
      <c r="G312" s="554">
        <f t="shared" si="14"/>
        <v>370524.1060567667</v>
      </c>
      <c r="H312" s="555">
        <f t="shared" si="15"/>
        <v>370524.1060567667</v>
      </c>
      <c r="I312" s="552">
        <f t="shared" si="16"/>
        <v>0</v>
      </c>
      <c r="J312" s="552"/>
      <c r="K312" s="572"/>
      <c r="L312" s="556"/>
      <c r="M312" s="572"/>
      <c r="N312" s="556"/>
      <c r="O312" s="556"/>
    </row>
    <row r="313" spans="3:15">
      <c r="C313" s="548">
        <f>IF(D275="","-",+C312+1)</f>
        <v>2045</v>
      </c>
      <c r="D313" s="506">
        <f t="shared" si="12"/>
        <v>715927.96213235753</v>
      </c>
      <c r="E313" s="549">
        <f t="shared" si="17"/>
        <v>245461.01558823531</v>
      </c>
      <c r="F313" s="506">
        <f t="shared" si="13"/>
        <v>470466.94654412218</v>
      </c>
      <c r="G313" s="554">
        <f t="shared" si="14"/>
        <v>333920.27470012358</v>
      </c>
      <c r="H313" s="555">
        <f t="shared" si="15"/>
        <v>333920.27470012358</v>
      </c>
      <c r="I313" s="552">
        <f t="shared" si="16"/>
        <v>0</v>
      </c>
      <c r="J313" s="552"/>
      <c r="K313" s="572"/>
      <c r="L313" s="556"/>
      <c r="M313" s="572"/>
      <c r="N313" s="556"/>
      <c r="O313" s="556"/>
    </row>
    <row r="314" spans="3:15">
      <c r="C314" s="548">
        <f>IF(D275="","-",+C313+1)</f>
        <v>2046</v>
      </c>
      <c r="D314" s="506">
        <f t="shared" si="12"/>
        <v>470466.94654412218</v>
      </c>
      <c r="E314" s="549">
        <f t="shared" si="17"/>
        <v>245461.01558823531</v>
      </c>
      <c r="F314" s="506">
        <f t="shared" si="13"/>
        <v>225005.93095588687</v>
      </c>
      <c r="G314" s="554">
        <f t="shared" si="14"/>
        <v>297316.44334348041</v>
      </c>
      <c r="H314" s="555">
        <f t="shared" si="15"/>
        <v>297316.44334348041</v>
      </c>
      <c r="I314" s="552">
        <f t="shared" si="16"/>
        <v>0</v>
      </c>
      <c r="J314" s="552"/>
      <c r="K314" s="572"/>
      <c r="L314" s="556"/>
      <c r="M314" s="572"/>
      <c r="N314" s="556"/>
      <c r="O314" s="556"/>
    </row>
    <row r="315" spans="3:15">
      <c r="C315" s="548">
        <f>IF(D275="","-",+C314+1)</f>
        <v>2047</v>
      </c>
      <c r="D315" s="506">
        <f t="shared" si="12"/>
        <v>225005.93095588687</v>
      </c>
      <c r="E315" s="549">
        <f t="shared" si="17"/>
        <v>225005.93095588687</v>
      </c>
      <c r="F315" s="506">
        <f t="shared" si="13"/>
        <v>0</v>
      </c>
      <c r="G315" s="554">
        <f t="shared" si="14"/>
        <v>241782.68699434865</v>
      </c>
      <c r="H315" s="555">
        <f t="shared" si="15"/>
        <v>241782.68699434865</v>
      </c>
      <c r="I315" s="552">
        <f t="shared" si="16"/>
        <v>0</v>
      </c>
      <c r="J315" s="552"/>
      <c r="K315" s="572"/>
      <c r="L315" s="556"/>
      <c r="M315" s="572"/>
      <c r="N315" s="556"/>
      <c r="O315" s="556"/>
    </row>
    <row r="316" spans="3:15">
      <c r="C316" s="548">
        <f>IF(D275="","-",+C315+1)</f>
        <v>2048</v>
      </c>
      <c r="D316" s="506">
        <f t="shared" si="12"/>
        <v>0</v>
      </c>
      <c r="E316" s="549">
        <f t="shared" si="17"/>
        <v>0</v>
      </c>
      <c r="F316" s="506">
        <f t="shared" si="13"/>
        <v>0</v>
      </c>
      <c r="G316" s="554">
        <f t="shared" si="14"/>
        <v>0</v>
      </c>
      <c r="H316" s="555">
        <f t="shared" si="15"/>
        <v>0</v>
      </c>
      <c r="I316" s="552">
        <f t="shared" si="16"/>
        <v>0</v>
      </c>
      <c r="J316" s="552"/>
      <c r="K316" s="572"/>
      <c r="L316" s="556"/>
      <c r="M316" s="572"/>
      <c r="N316" s="556"/>
      <c r="O316" s="556"/>
    </row>
    <row r="317" spans="3:15">
      <c r="C317" s="548">
        <f>IF(D275="","-",+C316+1)</f>
        <v>2049</v>
      </c>
      <c r="D317" s="506">
        <f t="shared" si="12"/>
        <v>0</v>
      </c>
      <c r="E317" s="549">
        <f t="shared" si="17"/>
        <v>0</v>
      </c>
      <c r="F317" s="506">
        <f t="shared" si="13"/>
        <v>0</v>
      </c>
      <c r="G317" s="554">
        <f t="shared" si="14"/>
        <v>0</v>
      </c>
      <c r="H317" s="555">
        <f t="shared" si="15"/>
        <v>0</v>
      </c>
      <c r="I317" s="552">
        <f t="shared" si="16"/>
        <v>0</v>
      </c>
      <c r="J317" s="552"/>
      <c r="K317" s="572"/>
      <c r="L317" s="556"/>
      <c r="M317" s="572"/>
      <c r="N317" s="556"/>
      <c r="O317" s="556"/>
    </row>
    <row r="318" spans="3:15">
      <c r="C318" s="548">
        <f>IF(D275="","-",+C317+1)</f>
        <v>2050</v>
      </c>
      <c r="D318" s="506">
        <f t="shared" si="12"/>
        <v>0</v>
      </c>
      <c r="E318" s="549">
        <f t="shared" si="17"/>
        <v>0</v>
      </c>
      <c r="F318" s="506">
        <f t="shared" si="13"/>
        <v>0</v>
      </c>
      <c r="G318" s="554">
        <f t="shared" si="14"/>
        <v>0</v>
      </c>
      <c r="H318" s="555">
        <f t="shared" si="15"/>
        <v>0</v>
      </c>
      <c r="I318" s="552">
        <f t="shared" si="16"/>
        <v>0</v>
      </c>
      <c r="J318" s="552"/>
      <c r="K318" s="572"/>
      <c r="L318" s="556"/>
      <c r="M318" s="572"/>
      <c r="N318" s="556"/>
      <c r="O318" s="556"/>
    </row>
    <row r="319" spans="3:15">
      <c r="C319" s="548">
        <f>IF(D275="","-",+C318+1)</f>
        <v>2051</v>
      </c>
      <c r="D319" s="506">
        <f t="shared" si="12"/>
        <v>0</v>
      </c>
      <c r="E319" s="549">
        <f t="shared" si="17"/>
        <v>0</v>
      </c>
      <c r="F319" s="506">
        <f t="shared" si="13"/>
        <v>0</v>
      </c>
      <c r="G319" s="554">
        <f t="shared" si="14"/>
        <v>0</v>
      </c>
      <c r="H319" s="555">
        <f t="shared" si="15"/>
        <v>0</v>
      </c>
      <c r="I319" s="552">
        <f t="shared" si="16"/>
        <v>0</v>
      </c>
      <c r="J319" s="552"/>
      <c r="K319" s="572"/>
      <c r="L319" s="556"/>
      <c r="M319" s="572"/>
      <c r="N319" s="556"/>
      <c r="O319" s="556"/>
    </row>
    <row r="320" spans="3:15">
      <c r="C320" s="548">
        <f>IF(D275="","-",+C319+1)</f>
        <v>2052</v>
      </c>
      <c r="D320" s="506">
        <f t="shared" si="12"/>
        <v>0</v>
      </c>
      <c r="E320" s="549">
        <f t="shared" si="17"/>
        <v>0</v>
      </c>
      <c r="F320" s="506">
        <f t="shared" si="13"/>
        <v>0</v>
      </c>
      <c r="G320" s="554">
        <f t="shared" si="14"/>
        <v>0</v>
      </c>
      <c r="H320" s="555">
        <f t="shared" si="15"/>
        <v>0</v>
      </c>
      <c r="I320" s="552">
        <f t="shared" si="16"/>
        <v>0</v>
      </c>
      <c r="J320" s="552"/>
      <c r="K320" s="572"/>
      <c r="L320" s="556"/>
      <c r="M320" s="572"/>
      <c r="N320" s="556"/>
      <c r="O320" s="556"/>
    </row>
    <row r="321" spans="3:15">
      <c r="C321" s="548">
        <f>IF(D275="","-",+C320+1)</f>
        <v>2053</v>
      </c>
      <c r="D321" s="506">
        <f t="shared" si="12"/>
        <v>0</v>
      </c>
      <c r="E321" s="549">
        <f t="shared" si="17"/>
        <v>0</v>
      </c>
      <c r="F321" s="506">
        <f t="shared" si="13"/>
        <v>0</v>
      </c>
      <c r="G321" s="554">
        <f t="shared" si="14"/>
        <v>0</v>
      </c>
      <c r="H321" s="555">
        <f t="shared" si="15"/>
        <v>0</v>
      </c>
      <c r="I321" s="552">
        <f t="shared" si="16"/>
        <v>0</v>
      </c>
      <c r="J321" s="552"/>
      <c r="K321" s="572"/>
      <c r="L321" s="556"/>
      <c r="M321" s="572"/>
      <c r="N321" s="556"/>
      <c r="O321" s="556"/>
    </row>
    <row r="322" spans="3:15">
      <c r="C322" s="548">
        <f>IF(D275="","-",+C321+1)</f>
        <v>2054</v>
      </c>
      <c r="D322" s="506">
        <f t="shared" si="12"/>
        <v>0</v>
      </c>
      <c r="E322" s="549">
        <f t="shared" si="17"/>
        <v>0</v>
      </c>
      <c r="F322" s="506">
        <f t="shared" si="13"/>
        <v>0</v>
      </c>
      <c r="G322" s="554">
        <f t="shared" si="14"/>
        <v>0</v>
      </c>
      <c r="H322" s="555">
        <f t="shared" si="15"/>
        <v>0</v>
      </c>
      <c r="I322" s="552">
        <f t="shared" si="16"/>
        <v>0</v>
      </c>
      <c r="J322" s="552"/>
      <c r="K322" s="572"/>
      <c r="L322" s="556"/>
      <c r="M322" s="572"/>
      <c r="N322" s="556"/>
      <c r="O322" s="556"/>
    </row>
    <row r="323" spans="3:15">
      <c r="C323" s="548">
        <f>IF(D275="","-",+C322+1)</f>
        <v>2055</v>
      </c>
      <c r="D323" s="506">
        <f t="shared" si="12"/>
        <v>0</v>
      </c>
      <c r="E323" s="549">
        <f t="shared" si="17"/>
        <v>0</v>
      </c>
      <c r="F323" s="506">
        <f t="shared" si="13"/>
        <v>0</v>
      </c>
      <c r="G323" s="554">
        <f t="shared" si="14"/>
        <v>0</v>
      </c>
      <c r="H323" s="555">
        <f t="shared" si="15"/>
        <v>0</v>
      </c>
      <c r="I323" s="552">
        <f t="shared" si="16"/>
        <v>0</v>
      </c>
      <c r="J323" s="552"/>
      <c r="K323" s="572"/>
      <c r="L323" s="556"/>
      <c r="M323" s="572"/>
      <c r="N323" s="556"/>
      <c r="O323" s="556"/>
    </row>
    <row r="324" spans="3:15">
      <c r="C324" s="548">
        <f>IF(D275="","-",+C323+1)</f>
        <v>2056</v>
      </c>
      <c r="D324" s="506">
        <f t="shared" si="12"/>
        <v>0</v>
      </c>
      <c r="E324" s="549">
        <f t="shared" si="17"/>
        <v>0</v>
      </c>
      <c r="F324" s="506">
        <f t="shared" si="13"/>
        <v>0</v>
      </c>
      <c r="G324" s="554">
        <f t="shared" si="14"/>
        <v>0</v>
      </c>
      <c r="H324" s="555">
        <f t="shared" si="15"/>
        <v>0</v>
      </c>
      <c r="I324" s="552">
        <f t="shared" si="16"/>
        <v>0</v>
      </c>
      <c r="J324" s="552"/>
      <c r="K324" s="572"/>
      <c r="L324" s="556"/>
      <c r="M324" s="572"/>
      <c r="N324" s="556"/>
      <c r="O324" s="556"/>
    </row>
    <row r="325" spans="3:15">
      <c r="C325" s="548">
        <f>IF(D275="","-",+C324+1)</f>
        <v>2057</v>
      </c>
      <c r="D325" s="506">
        <f t="shared" si="12"/>
        <v>0</v>
      </c>
      <c r="E325" s="549">
        <f t="shared" si="17"/>
        <v>0</v>
      </c>
      <c r="F325" s="506">
        <f t="shared" si="13"/>
        <v>0</v>
      </c>
      <c r="G325" s="554">
        <f t="shared" si="14"/>
        <v>0</v>
      </c>
      <c r="H325" s="555">
        <f t="shared" si="15"/>
        <v>0</v>
      </c>
      <c r="I325" s="552">
        <f t="shared" si="16"/>
        <v>0</v>
      </c>
      <c r="J325" s="552"/>
      <c r="K325" s="572"/>
      <c r="L325" s="556"/>
      <c r="M325" s="572"/>
      <c r="N325" s="556"/>
      <c r="O325" s="556"/>
    </row>
    <row r="326" spans="3:15">
      <c r="C326" s="548">
        <f>IF(D275="","-",+C325+1)</f>
        <v>2058</v>
      </c>
      <c r="D326" s="506">
        <f t="shared" si="12"/>
        <v>0</v>
      </c>
      <c r="E326" s="549">
        <f t="shared" si="17"/>
        <v>0</v>
      </c>
      <c r="F326" s="506">
        <f t="shared" si="13"/>
        <v>0</v>
      </c>
      <c r="G326" s="554">
        <f t="shared" si="14"/>
        <v>0</v>
      </c>
      <c r="H326" s="555">
        <f t="shared" si="15"/>
        <v>0</v>
      </c>
      <c r="I326" s="552">
        <f t="shared" si="16"/>
        <v>0</v>
      </c>
      <c r="J326" s="552"/>
      <c r="K326" s="572"/>
      <c r="L326" s="556"/>
      <c r="M326" s="572"/>
      <c r="N326" s="556"/>
      <c r="O326" s="556"/>
    </row>
    <row r="327" spans="3:15">
      <c r="C327" s="548">
        <f>IF(D275="","-",+C326+1)</f>
        <v>2059</v>
      </c>
      <c r="D327" s="506">
        <f t="shared" si="12"/>
        <v>0</v>
      </c>
      <c r="E327" s="549">
        <f t="shared" si="17"/>
        <v>0</v>
      </c>
      <c r="F327" s="506">
        <f t="shared" si="13"/>
        <v>0</v>
      </c>
      <c r="G327" s="554">
        <f t="shared" si="14"/>
        <v>0</v>
      </c>
      <c r="H327" s="555">
        <f t="shared" si="15"/>
        <v>0</v>
      </c>
      <c r="I327" s="552">
        <f t="shared" si="16"/>
        <v>0</v>
      </c>
      <c r="J327" s="552"/>
      <c r="K327" s="572"/>
      <c r="L327" s="556"/>
      <c r="M327" s="572"/>
      <c r="N327" s="556"/>
      <c r="O327" s="556"/>
    </row>
    <row r="328" spans="3:15">
      <c r="C328" s="548">
        <f>IF(D275="","-",+C327+1)</f>
        <v>2060</v>
      </c>
      <c r="D328" s="506">
        <f t="shared" si="12"/>
        <v>0</v>
      </c>
      <c r="E328" s="549">
        <f t="shared" si="17"/>
        <v>0</v>
      </c>
      <c r="F328" s="506">
        <f t="shared" si="13"/>
        <v>0</v>
      </c>
      <c r="G328" s="554">
        <f t="shared" si="14"/>
        <v>0</v>
      </c>
      <c r="H328" s="555">
        <f t="shared" si="15"/>
        <v>0</v>
      </c>
      <c r="I328" s="552">
        <f t="shared" si="16"/>
        <v>0</v>
      </c>
      <c r="J328" s="552"/>
      <c r="K328" s="572"/>
      <c r="L328" s="556"/>
      <c r="M328" s="572"/>
      <c r="N328" s="556"/>
      <c r="O328" s="556"/>
    </row>
    <row r="329" spans="3:15">
      <c r="C329" s="548">
        <f>IF(D275="","-",+C328+1)</f>
        <v>2061</v>
      </c>
      <c r="D329" s="506">
        <f t="shared" si="12"/>
        <v>0</v>
      </c>
      <c r="E329" s="549">
        <f t="shared" si="17"/>
        <v>0</v>
      </c>
      <c r="F329" s="506">
        <f t="shared" si="13"/>
        <v>0</v>
      </c>
      <c r="G329" s="554">
        <f t="shared" si="14"/>
        <v>0</v>
      </c>
      <c r="H329" s="555">
        <f t="shared" si="15"/>
        <v>0</v>
      </c>
      <c r="I329" s="552">
        <f t="shared" si="16"/>
        <v>0</v>
      </c>
      <c r="J329" s="552"/>
      <c r="K329" s="572"/>
      <c r="L329" s="556"/>
      <c r="M329" s="572"/>
      <c r="N329" s="556"/>
      <c r="O329" s="556"/>
    </row>
    <row r="330" spans="3:15">
      <c r="C330" s="548">
        <f>IF(D275="","-",+C329+1)</f>
        <v>2062</v>
      </c>
      <c r="D330" s="506">
        <f t="shared" si="12"/>
        <v>0</v>
      </c>
      <c r="E330" s="549">
        <f t="shared" si="17"/>
        <v>0</v>
      </c>
      <c r="F330" s="506">
        <f t="shared" si="13"/>
        <v>0</v>
      </c>
      <c r="G330" s="554">
        <f t="shared" si="14"/>
        <v>0</v>
      </c>
      <c r="H330" s="555">
        <f t="shared" si="15"/>
        <v>0</v>
      </c>
      <c r="I330" s="552">
        <f t="shared" si="16"/>
        <v>0</v>
      </c>
      <c r="J330" s="552"/>
      <c r="K330" s="572"/>
      <c r="L330" s="556"/>
      <c r="M330" s="572"/>
      <c r="N330" s="556"/>
      <c r="O330" s="556"/>
    </row>
    <row r="331" spans="3:15">
      <c r="C331" s="548">
        <f>IF(D275="","-",+C330+1)</f>
        <v>2063</v>
      </c>
      <c r="D331" s="506">
        <f t="shared" si="12"/>
        <v>0</v>
      </c>
      <c r="E331" s="549">
        <f t="shared" si="17"/>
        <v>0</v>
      </c>
      <c r="F331" s="506">
        <f t="shared" si="13"/>
        <v>0</v>
      </c>
      <c r="G331" s="554">
        <f t="shared" si="14"/>
        <v>0</v>
      </c>
      <c r="H331" s="555">
        <f t="shared" si="15"/>
        <v>0</v>
      </c>
      <c r="I331" s="552">
        <f t="shared" si="16"/>
        <v>0</v>
      </c>
      <c r="J331" s="552"/>
      <c r="K331" s="572"/>
      <c r="L331" s="556"/>
      <c r="M331" s="572"/>
      <c r="N331" s="556"/>
      <c r="O331" s="556"/>
    </row>
    <row r="332" spans="3:15">
      <c r="C332" s="548">
        <f>IF(D275="","-",+C331+1)</f>
        <v>2064</v>
      </c>
      <c r="D332" s="506">
        <f t="shared" si="12"/>
        <v>0</v>
      </c>
      <c r="E332" s="549">
        <f t="shared" si="17"/>
        <v>0</v>
      </c>
      <c r="F332" s="506">
        <f t="shared" si="13"/>
        <v>0</v>
      </c>
      <c r="G332" s="554">
        <f t="shared" si="14"/>
        <v>0</v>
      </c>
      <c r="H332" s="555">
        <f t="shared" si="15"/>
        <v>0</v>
      </c>
      <c r="I332" s="552">
        <f t="shared" si="16"/>
        <v>0</v>
      </c>
      <c r="J332" s="552"/>
      <c r="K332" s="572"/>
      <c r="L332" s="556"/>
      <c r="M332" s="572"/>
      <c r="N332" s="556"/>
      <c r="O332" s="556"/>
    </row>
    <row r="333" spans="3:15">
      <c r="C333" s="548">
        <f>IF(D275="","-",+C332+1)</f>
        <v>2065</v>
      </c>
      <c r="D333" s="506">
        <f t="shared" si="12"/>
        <v>0</v>
      </c>
      <c r="E333" s="549">
        <f t="shared" si="17"/>
        <v>0</v>
      </c>
      <c r="F333" s="506">
        <f t="shared" si="13"/>
        <v>0</v>
      </c>
      <c r="G333" s="554">
        <f t="shared" si="14"/>
        <v>0</v>
      </c>
      <c r="H333" s="555">
        <f t="shared" si="15"/>
        <v>0</v>
      </c>
      <c r="I333" s="552">
        <f t="shared" si="16"/>
        <v>0</v>
      </c>
      <c r="J333" s="552"/>
      <c r="K333" s="572"/>
      <c r="L333" s="556"/>
      <c r="M333" s="572"/>
      <c r="N333" s="556"/>
      <c r="O333" s="556"/>
    </row>
    <row r="334" spans="3:15">
      <c r="C334" s="548">
        <f>IF(D275="","-",+C333+1)</f>
        <v>2066</v>
      </c>
      <c r="D334" s="506">
        <f t="shared" si="12"/>
        <v>0</v>
      </c>
      <c r="E334" s="549">
        <f t="shared" si="17"/>
        <v>0</v>
      </c>
      <c r="F334" s="506">
        <f t="shared" si="13"/>
        <v>0</v>
      </c>
      <c r="G334" s="554">
        <f t="shared" si="14"/>
        <v>0</v>
      </c>
      <c r="H334" s="555">
        <f t="shared" si="15"/>
        <v>0</v>
      </c>
      <c r="I334" s="552">
        <f t="shared" si="16"/>
        <v>0</v>
      </c>
      <c r="J334" s="552"/>
      <c r="K334" s="572"/>
      <c r="L334" s="556"/>
      <c r="M334" s="572"/>
      <c r="N334" s="556"/>
      <c r="O334" s="556"/>
    </row>
    <row r="335" spans="3:15">
      <c r="C335" s="548">
        <f>IF(D275="","-",+C334+1)</f>
        <v>2067</v>
      </c>
      <c r="D335" s="506">
        <f t="shared" si="12"/>
        <v>0</v>
      </c>
      <c r="E335" s="549">
        <f t="shared" si="17"/>
        <v>0</v>
      </c>
      <c r="F335" s="506">
        <f t="shared" si="13"/>
        <v>0</v>
      </c>
      <c r="G335" s="554">
        <f t="shared" si="14"/>
        <v>0</v>
      </c>
      <c r="H335" s="555">
        <f t="shared" si="15"/>
        <v>0</v>
      </c>
      <c r="I335" s="552">
        <f t="shared" si="16"/>
        <v>0</v>
      </c>
      <c r="J335" s="552"/>
      <c r="K335" s="572"/>
      <c r="L335" s="556"/>
      <c r="M335" s="572"/>
      <c r="N335" s="556"/>
      <c r="O335" s="556"/>
    </row>
    <row r="336" spans="3:15">
      <c r="C336" s="548">
        <f>IF(D275="","-",+C335+1)</f>
        <v>2068</v>
      </c>
      <c r="D336" s="506">
        <f t="shared" si="12"/>
        <v>0</v>
      </c>
      <c r="E336" s="549">
        <f t="shared" si="17"/>
        <v>0</v>
      </c>
      <c r="F336" s="506">
        <f t="shared" si="13"/>
        <v>0</v>
      </c>
      <c r="G336" s="554">
        <f t="shared" si="14"/>
        <v>0</v>
      </c>
      <c r="H336" s="555">
        <f t="shared" si="15"/>
        <v>0</v>
      </c>
      <c r="I336" s="552">
        <f t="shared" si="16"/>
        <v>0</v>
      </c>
      <c r="J336" s="552"/>
      <c r="K336" s="572"/>
      <c r="L336" s="556"/>
      <c r="M336" s="572"/>
      <c r="N336" s="556"/>
      <c r="O336" s="556"/>
    </row>
    <row r="337" spans="1:16">
      <c r="C337" s="548">
        <f>IF(D275="","-",+C336+1)</f>
        <v>2069</v>
      </c>
      <c r="D337" s="506">
        <f t="shared" si="12"/>
        <v>0</v>
      </c>
      <c r="E337" s="549">
        <f t="shared" si="17"/>
        <v>0</v>
      </c>
      <c r="F337" s="506">
        <f t="shared" si="13"/>
        <v>0</v>
      </c>
      <c r="G337" s="554">
        <f t="shared" si="14"/>
        <v>0</v>
      </c>
      <c r="H337" s="555">
        <f t="shared" si="15"/>
        <v>0</v>
      </c>
      <c r="I337" s="552">
        <f t="shared" si="16"/>
        <v>0</v>
      </c>
      <c r="J337" s="552"/>
      <c r="K337" s="572"/>
      <c r="L337" s="556"/>
      <c r="M337" s="572"/>
      <c r="N337" s="556"/>
      <c r="O337" s="556"/>
    </row>
    <row r="338" spans="1:16">
      <c r="C338" s="548">
        <f>IF(D275="","-",+C337+1)</f>
        <v>2070</v>
      </c>
      <c r="D338" s="506">
        <f t="shared" si="12"/>
        <v>0</v>
      </c>
      <c r="E338" s="549">
        <f t="shared" si="17"/>
        <v>0</v>
      </c>
      <c r="F338" s="506">
        <f t="shared" si="13"/>
        <v>0</v>
      </c>
      <c r="G338" s="554">
        <f t="shared" si="14"/>
        <v>0</v>
      </c>
      <c r="H338" s="555">
        <f t="shared" si="15"/>
        <v>0</v>
      </c>
      <c r="I338" s="552">
        <f t="shared" si="16"/>
        <v>0</v>
      </c>
      <c r="J338" s="552"/>
      <c r="K338" s="572"/>
      <c r="L338" s="556"/>
      <c r="M338" s="572"/>
      <c r="N338" s="556"/>
      <c r="O338" s="556"/>
    </row>
    <row r="339" spans="1:16">
      <c r="C339" s="548">
        <f>IF(D275="","-",+C338+1)</f>
        <v>2071</v>
      </c>
      <c r="D339" s="506">
        <f t="shared" si="12"/>
        <v>0</v>
      </c>
      <c r="E339" s="549">
        <f t="shared" si="17"/>
        <v>0</v>
      </c>
      <c r="F339" s="506">
        <f t="shared" si="13"/>
        <v>0</v>
      </c>
      <c r="G339" s="554">
        <f t="shared" si="14"/>
        <v>0</v>
      </c>
      <c r="H339" s="555">
        <f t="shared" si="15"/>
        <v>0</v>
      </c>
      <c r="I339" s="552">
        <f t="shared" si="16"/>
        <v>0</v>
      </c>
      <c r="J339" s="552"/>
      <c r="K339" s="572"/>
      <c r="L339" s="556"/>
      <c r="M339" s="572"/>
      <c r="N339" s="556"/>
      <c r="O339" s="556"/>
    </row>
    <row r="340" spans="1:16" ht="13.5" thickBot="1">
      <c r="C340" s="558">
        <f>IF(D275="","-",+C339+1)</f>
        <v>2072</v>
      </c>
      <c r="D340" s="559">
        <f t="shared" si="12"/>
        <v>0</v>
      </c>
      <c r="E340" s="560">
        <f t="shared" si="17"/>
        <v>0</v>
      </c>
      <c r="F340" s="559">
        <f t="shared" si="13"/>
        <v>0</v>
      </c>
      <c r="G340" s="561">
        <f t="shared" si="14"/>
        <v>0</v>
      </c>
      <c r="H340" s="561">
        <f t="shared" si="15"/>
        <v>0</v>
      </c>
      <c r="I340" s="562">
        <f t="shared" si="16"/>
        <v>0</v>
      </c>
      <c r="J340" s="552"/>
      <c r="K340" s="573"/>
      <c r="L340" s="563"/>
      <c r="M340" s="573"/>
      <c r="N340" s="563"/>
      <c r="O340" s="563"/>
    </row>
    <row r="341" spans="1:16">
      <c r="C341" s="506" t="s">
        <v>83</v>
      </c>
      <c r="D341" s="503"/>
      <c r="E341" s="503">
        <f>SUM(E281:E340)</f>
        <v>8345674.5300000003</v>
      </c>
      <c r="F341" s="503"/>
      <c r="G341" s="503">
        <f>SUM(G281:G340)</f>
        <v>30643508.464755129</v>
      </c>
      <c r="H341" s="503">
        <f>SUM(H281:H340)</f>
        <v>30643508.464755129</v>
      </c>
      <c r="I341" s="503">
        <f>SUM(I281:I340)</f>
        <v>0</v>
      </c>
      <c r="J341" s="503"/>
      <c r="K341" s="503"/>
      <c r="L341" s="503"/>
      <c r="M341" s="503"/>
      <c r="N341" s="503"/>
      <c r="O341" s="3"/>
    </row>
    <row r="342" spans="1:16">
      <c r="D342" s="47"/>
      <c r="E342" s="3"/>
      <c r="F342" s="3"/>
      <c r="G342" s="3"/>
      <c r="H342" s="490"/>
      <c r="I342" s="490"/>
      <c r="J342" s="503"/>
      <c r="K342" s="490"/>
      <c r="L342" s="490"/>
      <c r="M342" s="490"/>
      <c r="N342" s="490"/>
      <c r="O342" s="3"/>
    </row>
    <row r="343" spans="1:16">
      <c r="C343" s="3" t="s">
        <v>13</v>
      </c>
      <c r="D343" s="47"/>
      <c r="E343" s="3"/>
      <c r="F343" s="3"/>
      <c r="G343" s="3"/>
      <c r="H343" s="490"/>
      <c r="I343" s="490"/>
      <c r="J343" s="503"/>
      <c r="K343" s="490"/>
      <c r="L343" s="490"/>
      <c r="M343" s="490"/>
      <c r="N343" s="490"/>
      <c r="O343" s="3"/>
    </row>
    <row r="344" spans="1:16">
      <c r="C344" s="3"/>
      <c r="D344" s="47"/>
      <c r="E344" s="3"/>
      <c r="F344" s="3"/>
      <c r="G344" s="3"/>
      <c r="H344" s="490"/>
      <c r="I344" s="490"/>
      <c r="J344" s="503"/>
      <c r="K344" s="490"/>
      <c r="L344" s="490"/>
      <c r="M344" s="490"/>
      <c r="N344" s="490"/>
      <c r="O344" s="3"/>
    </row>
    <row r="345" spans="1:16">
      <c r="C345" s="518" t="s">
        <v>14</v>
      </c>
      <c r="D345" s="506"/>
      <c r="E345" s="506"/>
      <c r="F345" s="506"/>
      <c r="G345" s="503"/>
      <c r="H345" s="503"/>
      <c r="I345" s="564"/>
      <c r="J345" s="564"/>
      <c r="K345" s="564"/>
      <c r="L345" s="564"/>
      <c r="M345" s="564"/>
      <c r="N345" s="564"/>
      <c r="O345" s="3"/>
    </row>
    <row r="346" spans="1:16">
      <c r="C346" s="507" t="s">
        <v>263</v>
      </c>
      <c r="D346" s="506"/>
      <c r="E346" s="506"/>
      <c r="F346" s="506"/>
      <c r="G346" s="503"/>
      <c r="H346" s="503"/>
      <c r="I346" s="564"/>
      <c r="J346" s="564"/>
      <c r="K346" s="564"/>
      <c r="L346" s="564"/>
      <c r="M346" s="564"/>
      <c r="N346" s="564"/>
      <c r="O346" s="3"/>
    </row>
    <row r="347" spans="1:16">
      <c r="C347" s="507" t="s">
        <v>84</v>
      </c>
      <c r="D347" s="506"/>
      <c r="E347" s="506"/>
      <c r="F347" s="506"/>
      <c r="G347" s="503"/>
      <c r="H347" s="503"/>
      <c r="I347" s="564"/>
      <c r="J347" s="564"/>
      <c r="K347" s="564"/>
      <c r="L347" s="564"/>
      <c r="M347" s="564"/>
      <c r="N347" s="564"/>
      <c r="O347" s="3"/>
    </row>
    <row r="348" spans="1:16">
      <c r="C348" s="507"/>
      <c r="D348" s="506"/>
      <c r="E348" s="506"/>
      <c r="F348" s="506"/>
      <c r="G348" s="503"/>
      <c r="H348" s="503"/>
      <c r="I348" s="564"/>
      <c r="J348" s="564"/>
      <c r="K348" s="564"/>
      <c r="L348" s="564"/>
      <c r="M348" s="564"/>
      <c r="N348" s="564"/>
      <c r="O348" s="3"/>
    </row>
    <row r="349" spans="1:16">
      <c r="C349" s="1200" t="s">
        <v>6</v>
      </c>
      <c r="D349" s="1200"/>
      <c r="E349" s="1200"/>
      <c r="F349" s="1200"/>
      <c r="G349" s="1200"/>
      <c r="H349" s="1200"/>
      <c r="I349" s="1200"/>
      <c r="J349" s="1200"/>
      <c r="K349" s="1200"/>
      <c r="L349" s="1200"/>
      <c r="M349" s="1200"/>
      <c r="N349" s="1200"/>
      <c r="O349" s="1200"/>
    </row>
    <row r="350" spans="1:16">
      <c r="C350" s="1200"/>
      <c r="D350" s="1200"/>
      <c r="E350" s="1200"/>
      <c r="F350" s="1200"/>
      <c r="G350" s="1200"/>
      <c r="H350" s="1200"/>
      <c r="I350" s="1200"/>
      <c r="J350" s="1200"/>
      <c r="K350" s="1200"/>
      <c r="L350" s="1200"/>
      <c r="M350" s="1200"/>
      <c r="N350" s="1200"/>
      <c r="O350" s="1200"/>
    </row>
    <row r="351" spans="1:16">
      <c r="C351" s="507"/>
      <c r="D351" s="506"/>
      <c r="E351" s="506"/>
      <c r="F351" s="506"/>
      <c r="G351" s="503"/>
      <c r="H351" s="503"/>
    </row>
    <row r="352" spans="1:16" ht="20.25">
      <c r="A352" s="447" t="str">
        <f>""&amp;A276&amp;" Worksheet J -  ATRR PROJECTED Calculation for PJM Projects Charged to Benefiting Zones"</f>
        <v xml:space="preserve"> Worksheet J -  ATRR PROJECTED Calculation for PJM Projects Charged to Benefiting Zones</v>
      </c>
      <c r="B352" s="3"/>
      <c r="C352" s="3"/>
      <c r="D352" s="47"/>
      <c r="E352" s="3"/>
      <c r="F352" s="489"/>
      <c r="G352" s="3"/>
      <c r="H352" s="490"/>
      <c r="K352" s="398"/>
      <c r="L352" s="398"/>
      <c r="M352" s="398"/>
      <c r="N352" s="398" t="str">
        <f>"Page "&amp;SUM(P$8:P352)&amp;" of "</f>
        <v xml:space="preserve">Page 5 of </v>
      </c>
      <c r="O352" s="448">
        <f>COUNT(P$8:P$56653)</f>
        <v>23</v>
      </c>
      <c r="P352">
        <v>1</v>
      </c>
    </row>
    <row r="353" spans="2:15">
      <c r="B353" s="3"/>
      <c r="C353" s="3"/>
      <c r="D353" s="47"/>
      <c r="E353" s="3"/>
      <c r="F353" s="3"/>
      <c r="G353" s="3"/>
      <c r="H353" s="490"/>
      <c r="I353" s="3"/>
      <c r="J353" s="3"/>
      <c r="K353" s="3"/>
      <c r="L353" s="3"/>
      <c r="M353" s="3"/>
      <c r="N353" s="3"/>
      <c r="O353" s="3"/>
    </row>
    <row r="354" spans="2:15" ht="18">
      <c r="B354" s="449" t="s">
        <v>464</v>
      </c>
      <c r="C354" s="122" t="s">
        <v>85</v>
      </c>
      <c r="D354" s="47"/>
      <c r="E354" s="3"/>
      <c r="F354" s="3"/>
      <c r="G354" s="3"/>
      <c r="H354" s="490"/>
      <c r="I354" s="490"/>
      <c r="J354" s="503"/>
      <c r="K354" s="490"/>
      <c r="L354" s="490"/>
      <c r="M354" s="490"/>
      <c r="N354" s="490"/>
      <c r="O354" s="3"/>
    </row>
    <row r="355" spans="2:15" ht="18.75">
      <c r="B355" s="449"/>
      <c r="C355" s="6"/>
      <c r="D355" s="47"/>
      <c r="E355" s="3"/>
      <c r="F355" s="3"/>
      <c r="G355" s="3"/>
      <c r="H355" s="490"/>
      <c r="I355" s="490"/>
      <c r="J355" s="503"/>
      <c r="K355" s="490"/>
      <c r="L355" s="490"/>
      <c r="M355" s="490"/>
      <c r="N355" s="490"/>
      <c r="O355" s="3"/>
    </row>
    <row r="356" spans="2:15" ht="18.75">
      <c r="B356" s="449"/>
      <c r="C356" s="6" t="s">
        <v>86</v>
      </c>
      <c r="D356" s="47"/>
      <c r="E356" s="3"/>
      <c r="F356" s="3"/>
      <c r="G356" s="3"/>
      <c r="H356" s="490"/>
      <c r="I356" s="490"/>
      <c r="J356" s="503"/>
      <c r="K356" s="490"/>
      <c r="L356" s="490"/>
      <c r="M356" s="490"/>
      <c r="N356" s="490"/>
      <c r="O356" s="3"/>
    </row>
    <row r="357" spans="2:15" ht="15.75" thickBot="1">
      <c r="C357" s="131"/>
      <c r="D357" s="47"/>
      <c r="E357" s="3"/>
      <c r="F357" s="3"/>
      <c r="G357" s="3"/>
      <c r="H357" s="490"/>
      <c r="I357" s="490"/>
      <c r="J357" s="503"/>
      <c r="K357" s="490"/>
      <c r="L357" s="490"/>
      <c r="M357" s="490"/>
      <c r="N357" s="490"/>
      <c r="O357" s="3"/>
    </row>
    <row r="358" spans="2:15" ht="15.75">
      <c r="C358" s="451" t="s">
        <v>87</v>
      </c>
      <c r="D358" s="47"/>
      <c r="E358" s="3"/>
      <c r="F358" s="3"/>
      <c r="G358" s="566"/>
      <c r="H358" s="3" t="s">
        <v>66</v>
      </c>
      <c r="I358" s="3"/>
      <c r="J358" s="3"/>
      <c r="K358" s="509" t="s">
        <v>91</v>
      </c>
      <c r="L358" s="510"/>
      <c r="M358" s="511"/>
      <c r="N358" s="512">
        <f>IF(I364=0,0,VLOOKUP(I364,C371:O430,5))</f>
        <v>532587.46448992041</v>
      </c>
      <c r="O358" s="3"/>
    </row>
    <row r="359" spans="2:15" ht="15.75">
      <c r="C359" s="451"/>
      <c r="D359" s="47"/>
      <c r="E359" s="3"/>
      <c r="F359" s="3"/>
      <c r="G359" s="3"/>
      <c r="H359" s="513"/>
      <c r="I359" s="513"/>
      <c r="J359" s="514"/>
      <c r="K359" s="515" t="s">
        <v>92</v>
      </c>
      <c r="L359" s="516"/>
      <c r="M359" s="3"/>
      <c r="N359" s="517">
        <f>IF(I364=0,0,VLOOKUP(I364,C371:O430,6))</f>
        <v>532587.46448992041</v>
      </c>
      <c r="O359" s="3"/>
    </row>
    <row r="360" spans="2:15" ht="13.5" customHeight="1" thickBot="1">
      <c r="C360" s="518" t="s">
        <v>88</v>
      </c>
      <c r="D360" s="1194" t="s">
        <v>805</v>
      </c>
      <c r="E360" s="1194"/>
      <c r="F360" s="1194"/>
      <c r="G360" s="1194"/>
      <c r="H360" s="1194"/>
      <c r="I360" s="1194"/>
      <c r="J360" s="503"/>
      <c r="K360" s="519" t="s">
        <v>230</v>
      </c>
      <c r="L360" s="520"/>
      <c r="M360" s="520"/>
      <c r="N360" s="521">
        <f>+N359-N358</f>
        <v>0</v>
      </c>
      <c r="O360" s="3"/>
    </row>
    <row r="361" spans="2:15">
      <c r="C361" s="522"/>
      <c r="D361" s="1194"/>
      <c r="E361" s="1194"/>
      <c r="F361" s="1194"/>
      <c r="G361" s="1194"/>
      <c r="H361" s="1194"/>
      <c r="I361" s="1194"/>
      <c r="J361" s="503"/>
      <c r="K361" s="490"/>
      <c r="L361" s="490"/>
      <c r="M361" s="490"/>
      <c r="N361" s="490"/>
      <c r="O361" s="3"/>
    </row>
    <row r="362" spans="2:15" ht="13.5" thickBot="1">
      <c r="C362" s="522"/>
      <c r="D362" s="3"/>
      <c r="E362" s="524"/>
      <c r="F362" s="524"/>
      <c r="G362" s="524"/>
      <c r="H362" s="524"/>
      <c r="I362" s="524"/>
      <c r="J362" s="524"/>
      <c r="K362" s="524"/>
      <c r="L362" s="524"/>
      <c r="M362" s="524"/>
      <c r="N362" s="524"/>
      <c r="O362" s="3"/>
    </row>
    <row r="363" spans="2:15" ht="13.5" thickBot="1">
      <c r="C363" s="525" t="s">
        <v>89</v>
      </c>
      <c r="D363" s="526"/>
      <c r="E363" s="526"/>
      <c r="F363" s="526"/>
      <c r="G363" s="526"/>
      <c r="H363" s="526"/>
      <c r="I363" s="527"/>
      <c r="K363" s="3"/>
      <c r="L363" s="3"/>
      <c r="M363" s="3"/>
      <c r="N363" s="3"/>
      <c r="O363" s="3"/>
    </row>
    <row r="364" spans="2:15" ht="15">
      <c r="C364" s="528" t="s">
        <v>67</v>
      </c>
      <c r="D364" s="568">
        <v>4305128.67</v>
      </c>
      <c r="E364" s="3" t="s">
        <v>68</v>
      </c>
      <c r="G364" s="47"/>
      <c r="H364" s="47"/>
      <c r="I364" s="529">
        <f>$L$26</f>
        <v>2026</v>
      </c>
      <c r="J364" s="70"/>
      <c r="K364" s="1193" t="s">
        <v>239</v>
      </c>
      <c r="L364" s="1193"/>
      <c r="M364" s="1193"/>
      <c r="N364" s="1193"/>
      <c r="O364" s="1193"/>
    </row>
    <row r="365" spans="2:15">
      <c r="C365" s="528" t="s">
        <v>70</v>
      </c>
      <c r="D365" s="569">
        <v>2013</v>
      </c>
      <c r="E365" s="528" t="s">
        <v>71</v>
      </c>
      <c r="F365" s="47"/>
      <c r="H365"/>
      <c r="I365" s="570">
        <f>IF(G358="",0,$F$17)</f>
        <v>0</v>
      </c>
      <c r="J365" s="530"/>
      <c r="K365" s="503" t="s">
        <v>239</v>
      </c>
    </row>
    <row r="366" spans="2:15">
      <c r="C366" s="528" t="s">
        <v>72</v>
      </c>
      <c r="D366" s="568">
        <v>12</v>
      </c>
      <c r="E366" s="528" t="s">
        <v>73</v>
      </c>
      <c r="F366" s="47"/>
      <c r="H366"/>
      <c r="I366" s="531">
        <f>$G$70</f>
        <v>0.14912278949438812</v>
      </c>
      <c r="J366" s="489"/>
      <c r="K366" t="str">
        <f>"          INPUT PROJECTED ARR (WITH &amp; WITHOUT INCENTIVES) FROM EACH PRIOR YEAR"</f>
        <v xml:space="preserve">          INPUT PROJECTED ARR (WITH &amp; WITHOUT INCENTIVES) FROM EACH PRIOR YEAR</v>
      </c>
    </row>
    <row r="367" spans="2:15">
      <c r="C367" s="528" t="s">
        <v>74</v>
      </c>
      <c r="D367" s="532">
        <f>$G$79</f>
        <v>34</v>
      </c>
      <c r="E367" s="528" t="s">
        <v>75</v>
      </c>
      <c r="F367" s="47"/>
      <c r="H367"/>
      <c r="I367" s="531">
        <f>IF(G358="",I366,$G$69)</f>
        <v>0.14912278949438812</v>
      </c>
      <c r="J367" s="489"/>
      <c r="K367" t="s">
        <v>152</v>
      </c>
    </row>
    <row r="368" spans="2:15" ht="13.5" thickBot="1">
      <c r="C368" s="528" t="s">
        <v>76</v>
      </c>
      <c r="D368" s="567" t="s">
        <v>802</v>
      </c>
      <c r="E368" s="533" t="s">
        <v>77</v>
      </c>
      <c r="F368" s="534"/>
      <c r="G368" s="535"/>
      <c r="H368" s="535"/>
      <c r="I368" s="521">
        <f>IF(D364=0,0,D364/D367)</f>
        <v>126621.43147058823</v>
      </c>
      <c r="J368" s="503"/>
      <c r="K368" s="503" t="s">
        <v>158</v>
      </c>
      <c r="L368" s="503"/>
      <c r="M368" s="503"/>
      <c r="N368" s="503"/>
      <c r="O368" s="3"/>
    </row>
    <row r="369" spans="2:15" ht="38.25">
      <c r="B369" s="450"/>
      <c r="C369" s="536" t="s">
        <v>67</v>
      </c>
      <c r="D369" s="537" t="s">
        <v>78</v>
      </c>
      <c r="E369" s="538" t="s">
        <v>79</v>
      </c>
      <c r="F369" s="537" t="s">
        <v>80</v>
      </c>
      <c r="G369" s="538" t="s">
        <v>151</v>
      </c>
      <c r="H369" s="539" t="s">
        <v>151</v>
      </c>
      <c r="I369" s="536" t="s">
        <v>90</v>
      </c>
      <c r="J369" s="540"/>
      <c r="K369" s="538" t="s">
        <v>160</v>
      </c>
      <c r="L369" s="541"/>
      <c r="M369" s="538" t="s">
        <v>160</v>
      </c>
      <c r="N369" s="541"/>
      <c r="O369" s="541"/>
    </row>
    <row r="370" spans="2:15" ht="13.5" thickBot="1">
      <c r="C370" s="542" t="s">
        <v>467</v>
      </c>
      <c r="D370" s="543" t="s">
        <v>468</v>
      </c>
      <c r="E370" s="542" t="s">
        <v>361</v>
      </c>
      <c r="F370" s="543" t="s">
        <v>468</v>
      </c>
      <c r="G370" s="544" t="s">
        <v>93</v>
      </c>
      <c r="H370" s="545" t="s">
        <v>95</v>
      </c>
      <c r="I370" s="542" t="s">
        <v>15</v>
      </c>
      <c r="J370" s="546"/>
      <c r="K370" s="544" t="s">
        <v>82</v>
      </c>
      <c r="L370" s="547"/>
      <c r="M370" s="544" t="s">
        <v>95</v>
      </c>
      <c r="N370" s="547"/>
      <c r="O370" s="547"/>
    </row>
    <row r="371" spans="2:15">
      <c r="C371" s="548">
        <f>IF(D365= "","-",D365)</f>
        <v>2013</v>
      </c>
      <c r="D371" s="506">
        <f>+D364</f>
        <v>4305128.67</v>
      </c>
      <c r="E371" s="549">
        <f>+I368/12*(12-D366)</f>
        <v>0</v>
      </c>
      <c r="F371" s="506">
        <f>+D371-E371</f>
        <v>4305128.67</v>
      </c>
      <c r="G371" s="723">
        <f>+$I$96*((D371+F371)/2)+E371</f>
        <v>641992.79640266509</v>
      </c>
      <c r="H371" s="724">
        <f>$I$97*((D371+F371)/2)+E371</f>
        <v>641992.79640266509</v>
      </c>
      <c r="I371" s="552">
        <f>+H371-G371</f>
        <v>0</v>
      </c>
      <c r="J371" s="552"/>
      <c r="K371" s="571">
        <v>244284</v>
      </c>
      <c r="L371" s="553"/>
      <c r="M371" s="571">
        <v>244284</v>
      </c>
      <c r="N371" s="553"/>
      <c r="O371" s="553"/>
    </row>
    <row r="372" spans="2:15">
      <c r="C372" s="548">
        <f>IF(D365="","-",+C371+1)</f>
        <v>2014</v>
      </c>
      <c r="D372" s="506">
        <f t="shared" ref="D372:D430" si="18">F371</f>
        <v>4305128.67</v>
      </c>
      <c r="E372" s="549">
        <f>IF(D372&gt;$I$368,$I$368,D372)</f>
        <v>126621.43147058823</v>
      </c>
      <c r="F372" s="506">
        <f t="shared" ref="F372:F430" si="19">+D372-E372</f>
        <v>4178507.2385294116</v>
      </c>
      <c r="G372" s="554">
        <f t="shared" ref="G372:G430" si="20">+$I$96*((D372+F372)/2)+E372</f>
        <v>759173.15733792004</v>
      </c>
      <c r="H372" s="555">
        <f t="shared" ref="H372:H430" si="21">$I$97*((D372+F372)/2)+E372</f>
        <v>759173.15733792004</v>
      </c>
      <c r="I372" s="552">
        <f t="shared" ref="I372:I430" si="22">+H372-G372</f>
        <v>0</v>
      </c>
      <c r="J372" s="552"/>
      <c r="K372" s="572">
        <v>568269</v>
      </c>
      <c r="L372" s="556"/>
      <c r="M372" s="572">
        <v>568269</v>
      </c>
      <c r="N372" s="556"/>
      <c r="O372" s="556"/>
    </row>
    <row r="373" spans="2:15">
      <c r="C373" s="548">
        <f>IF(D365="","-",+C372+1)</f>
        <v>2015</v>
      </c>
      <c r="D373" s="506">
        <f t="shared" si="18"/>
        <v>4178507.2385294116</v>
      </c>
      <c r="E373" s="549">
        <f t="shared" ref="E373:E430" si="23">IF(D373&gt;$I$368,$I$368,D373)</f>
        <v>126621.43147058823</v>
      </c>
      <c r="F373" s="506">
        <f t="shared" si="19"/>
        <v>4051885.8070588233</v>
      </c>
      <c r="G373" s="554">
        <f t="shared" si="20"/>
        <v>740291.01626725332</v>
      </c>
      <c r="H373" s="555">
        <f t="shared" si="21"/>
        <v>740291.01626725332</v>
      </c>
      <c r="I373" s="552">
        <f t="shared" si="22"/>
        <v>0</v>
      </c>
      <c r="J373" s="552"/>
      <c r="K373" s="572">
        <v>554603</v>
      </c>
      <c r="L373" s="556"/>
      <c r="M373" s="572">
        <v>554603</v>
      </c>
      <c r="N373" s="556"/>
      <c r="O373" s="556"/>
    </row>
    <row r="374" spans="2:15">
      <c r="C374" s="548">
        <f>IF(D365="","-",+C373+1)</f>
        <v>2016</v>
      </c>
      <c r="D374" s="506">
        <f t="shared" si="18"/>
        <v>4051885.8070588233</v>
      </c>
      <c r="E374" s="549">
        <f t="shared" si="23"/>
        <v>126621.43147058823</v>
      </c>
      <c r="F374" s="506">
        <f t="shared" si="19"/>
        <v>3925264.375588235</v>
      </c>
      <c r="G374" s="554">
        <f t="shared" si="20"/>
        <v>721408.87519658671</v>
      </c>
      <c r="H374" s="555">
        <f t="shared" si="21"/>
        <v>721408.87519658671</v>
      </c>
      <c r="I374" s="552">
        <f t="shared" si="22"/>
        <v>0</v>
      </c>
      <c r="J374" s="552"/>
      <c r="K374" s="572">
        <v>606319</v>
      </c>
      <c r="L374" s="556"/>
      <c r="M374" s="572">
        <v>606319</v>
      </c>
      <c r="N374" s="556"/>
      <c r="O374" s="556"/>
    </row>
    <row r="375" spans="2:15">
      <c r="C375" s="548">
        <f>IF(D365="","-",+C374+1)</f>
        <v>2017</v>
      </c>
      <c r="D375" s="506">
        <f t="shared" si="18"/>
        <v>3925264.375588235</v>
      </c>
      <c r="E375" s="549">
        <f t="shared" si="23"/>
        <v>126621.43147058823</v>
      </c>
      <c r="F375" s="506">
        <f t="shared" si="19"/>
        <v>3798642.9441176467</v>
      </c>
      <c r="G375" s="554">
        <f t="shared" si="20"/>
        <v>702526.73412591999</v>
      </c>
      <c r="H375" s="555">
        <f t="shared" si="21"/>
        <v>702526.73412591999</v>
      </c>
      <c r="I375" s="552">
        <f t="shared" si="22"/>
        <v>0</v>
      </c>
      <c r="J375" s="552"/>
      <c r="K375" s="572">
        <v>725644</v>
      </c>
      <c r="L375" s="556"/>
      <c r="M375" s="572">
        <v>725644</v>
      </c>
      <c r="N375" s="556"/>
      <c r="O375" s="556"/>
    </row>
    <row r="376" spans="2:15">
      <c r="C376" s="974">
        <f>IF(D365="","-",+C375+1)</f>
        <v>2018</v>
      </c>
      <c r="D376" s="506">
        <f t="shared" si="18"/>
        <v>3798642.9441176467</v>
      </c>
      <c r="E376" s="549">
        <f t="shared" si="23"/>
        <v>126621.43147058823</v>
      </c>
      <c r="F376" s="506">
        <f t="shared" si="19"/>
        <v>3672021.5126470583</v>
      </c>
      <c r="G376" s="554">
        <f t="shared" si="20"/>
        <v>683644.5930552535</v>
      </c>
      <c r="H376" s="555">
        <f t="shared" si="21"/>
        <v>683644.5930552535</v>
      </c>
      <c r="I376" s="552">
        <f t="shared" si="22"/>
        <v>0</v>
      </c>
      <c r="J376" s="552"/>
      <c r="K376" s="572">
        <v>644841</v>
      </c>
      <c r="L376" s="556"/>
      <c r="M376" s="572">
        <v>644841</v>
      </c>
      <c r="N376" s="556"/>
      <c r="O376" s="556"/>
    </row>
    <row r="377" spans="2:15">
      <c r="C377" s="974">
        <f>IF(D365="","-",+C376+1)</f>
        <v>2019</v>
      </c>
      <c r="D377" s="506">
        <f t="shared" si="18"/>
        <v>3672021.5126470583</v>
      </c>
      <c r="E377" s="549">
        <f t="shared" si="23"/>
        <v>126621.43147058823</v>
      </c>
      <c r="F377" s="506">
        <f t="shared" si="19"/>
        <v>3545400.08117647</v>
      </c>
      <c r="G377" s="554">
        <f t="shared" si="20"/>
        <v>664762.45198458678</v>
      </c>
      <c r="H377" s="555">
        <f t="shared" si="21"/>
        <v>664762.45198458678</v>
      </c>
      <c r="I377" s="552">
        <f t="shared" si="22"/>
        <v>0</v>
      </c>
      <c r="J377" s="552"/>
      <c r="K377" s="572">
        <v>659890.65597730549</v>
      </c>
      <c r="L377" s="556"/>
      <c r="M377" s="572">
        <v>659890.65597730549</v>
      </c>
      <c r="N377" s="556"/>
      <c r="O377" s="556"/>
    </row>
    <row r="378" spans="2:15">
      <c r="C378" s="974">
        <f>IF(D365="","-",+C377+1)</f>
        <v>2020</v>
      </c>
      <c r="D378" s="506">
        <f t="shared" si="18"/>
        <v>3545400.08117647</v>
      </c>
      <c r="E378" s="549">
        <f t="shared" si="23"/>
        <v>126621.43147058823</v>
      </c>
      <c r="F378" s="506">
        <f t="shared" si="19"/>
        <v>3418778.6497058817</v>
      </c>
      <c r="G378" s="554">
        <f t="shared" si="20"/>
        <v>645880.31091392029</v>
      </c>
      <c r="H378" s="555">
        <f t="shared" si="21"/>
        <v>645880.31091392029</v>
      </c>
      <c r="I378" s="552">
        <f t="shared" si="22"/>
        <v>0</v>
      </c>
      <c r="J378" s="552"/>
      <c r="K378" s="572">
        <v>689651.51500122016</v>
      </c>
      <c r="L378" s="556"/>
      <c r="M378" s="572">
        <v>689651.51500122016</v>
      </c>
      <c r="N378" s="556"/>
      <c r="O378" s="556"/>
    </row>
    <row r="379" spans="2:15">
      <c r="C379" s="974">
        <f>IF(D365="","-",+C378+1)</f>
        <v>2021</v>
      </c>
      <c r="D379" s="506">
        <f t="shared" si="18"/>
        <v>3418778.6497058817</v>
      </c>
      <c r="E379" s="549">
        <f t="shared" si="23"/>
        <v>126621.43147058823</v>
      </c>
      <c r="F379" s="506">
        <f t="shared" si="19"/>
        <v>3292157.2182352934</v>
      </c>
      <c r="G379" s="554">
        <f t="shared" si="20"/>
        <v>626998.16984325356</v>
      </c>
      <c r="H379" s="555">
        <f t="shared" si="21"/>
        <v>626998.16984325356</v>
      </c>
      <c r="I379" s="552">
        <f t="shared" si="22"/>
        <v>0</v>
      </c>
      <c r="J379" s="552"/>
      <c r="K379" s="572">
        <v>620498.57453110628</v>
      </c>
      <c r="L379" s="556"/>
      <c r="M379" s="572">
        <v>620498.57453110628</v>
      </c>
      <c r="N379" s="556"/>
      <c r="O379" s="556"/>
    </row>
    <row r="380" spans="2:15">
      <c r="C380" s="974">
        <f>IF(D365="","-",+C379+1)</f>
        <v>2022</v>
      </c>
      <c r="D380" s="506">
        <f t="shared" si="18"/>
        <v>3292157.2182352934</v>
      </c>
      <c r="E380" s="549">
        <f t="shared" si="23"/>
        <v>126621.43147058823</v>
      </c>
      <c r="F380" s="506">
        <f t="shared" si="19"/>
        <v>3165535.7867647051</v>
      </c>
      <c r="G380" s="554">
        <f t="shared" si="20"/>
        <v>608116.02877258696</v>
      </c>
      <c r="H380" s="555">
        <f t="shared" si="21"/>
        <v>608116.02877258696</v>
      </c>
      <c r="I380" s="552">
        <f t="shared" si="22"/>
        <v>0</v>
      </c>
      <c r="J380" s="552"/>
      <c r="K380" s="572">
        <v>618434.82858025585</v>
      </c>
      <c r="L380" s="556"/>
      <c r="M380" s="572">
        <v>618434.82858025585</v>
      </c>
      <c r="N380" s="556"/>
      <c r="O380" s="556"/>
    </row>
    <row r="381" spans="2:15">
      <c r="C381" s="974">
        <f>IF(D365="","-",+C380+1)</f>
        <v>2023</v>
      </c>
      <c r="D381" s="506">
        <f t="shared" si="18"/>
        <v>3165535.7867647051</v>
      </c>
      <c r="E381" s="549">
        <f t="shared" si="23"/>
        <v>126621.43147058823</v>
      </c>
      <c r="F381" s="506">
        <f t="shared" si="19"/>
        <v>3038914.3552941168</v>
      </c>
      <c r="G381" s="554">
        <f t="shared" si="20"/>
        <v>589233.88770192023</v>
      </c>
      <c r="H381" s="555">
        <f t="shared" si="21"/>
        <v>589233.88770192023</v>
      </c>
      <c r="I381" s="552">
        <f t="shared" si="22"/>
        <v>0</v>
      </c>
      <c r="J381" s="552"/>
      <c r="K381" s="572">
        <v>601559.41241998423</v>
      </c>
      <c r="L381" s="556"/>
      <c r="M381" s="572">
        <v>601559.41241998423</v>
      </c>
      <c r="N381" s="556"/>
      <c r="O381" s="556"/>
    </row>
    <row r="382" spans="2:15">
      <c r="C382" s="548">
        <f>IF(D365="","-",+C381+1)</f>
        <v>2024</v>
      </c>
      <c r="D382" s="506">
        <f t="shared" si="18"/>
        <v>3038914.3552941168</v>
      </c>
      <c r="E382" s="549">
        <f t="shared" si="23"/>
        <v>126621.43147058823</v>
      </c>
      <c r="F382" s="506">
        <f t="shared" si="19"/>
        <v>2912292.9238235285</v>
      </c>
      <c r="G382" s="554">
        <f t="shared" si="20"/>
        <v>570351.74663125374</v>
      </c>
      <c r="H382" s="555">
        <f t="shared" si="21"/>
        <v>570351.74663125374</v>
      </c>
      <c r="I382" s="552">
        <f t="shared" si="22"/>
        <v>0</v>
      </c>
      <c r="J382" s="552"/>
      <c r="K382" s="572">
        <v>573997.7301091539</v>
      </c>
      <c r="L382" s="556"/>
      <c r="M382" s="572">
        <v>573997.7301091539</v>
      </c>
      <c r="N382" s="556"/>
      <c r="O382" s="556"/>
    </row>
    <row r="383" spans="2:15">
      <c r="C383" s="548">
        <f>IF(D365="","-",+C382+1)</f>
        <v>2025</v>
      </c>
      <c r="D383" s="506">
        <f t="shared" si="18"/>
        <v>2912292.9238235285</v>
      </c>
      <c r="E383" s="549">
        <f t="shared" si="23"/>
        <v>126621.43147058823</v>
      </c>
      <c r="F383" s="506">
        <f t="shared" si="19"/>
        <v>2785671.4923529401</v>
      </c>
      <c r="G383" s="554">
        <f t="shared" si="20"/>
        <v>551469.60556058702</v>
      </c>
      <c r="H383" s="555">
        <f t="shared" si="21"/>
        <v>551469.60556058702</v>
      </c>
      <c r="I383" s="552">
        <f t="shared" si="22"/>
        <v>0</v>
      </c>
      <c r="J383" s="552"/>
      <c r="K383" s="572">
        <v>553957.12198483432</v>
      </c>
      <c r="L383" s="556"/>
      <c r="M383" s="572">
        <v>553957.12198483432</v>
      </c>
      <c r="N383" s="557"/>
      <c r="O383" s="556"/>
    </row>
    <row r="384" spans="2:15">
      <c r="C384" s="955">
        <f>IF(D365="","-",+C383+1)</f>
        <v>2026</v>
      </c>
      <c r="D384" s="506">
        <f t="shared" si="18"/>
        <v>2785671.4923529401</v>
      </c>
      <c r="E384" s="549">
        <f t="shared" si="23"/>
        <v>126621.43147058823</v>
      </c>
      <c r="F384" s="506">
        <f t="shared" si="19"/>
        <v>2659050.0608823518</v>
      </c>
      <c r="G384" s="554">
        <f t="shared" si="20"/>
        <v>532587.46448992041</v>
      </c>
      <c r="H384" s="555">
        <f t="shared" si="21"/>
        <v>532587.46448992041</v>
      </c>
      <c r="I384" s="552">
        <f t="shared" si="22"/>
        <v>0</v>
      </c>
      <c r="J384" s="552"/>
      <c r="K384" s="572"/>
      <c r="L384" s="556"/>
      <c r="M384" s="572"/>
      <c r="N384" s="556"/>
      <c r="O384" s="556"/>
    </row>
    <row r="385" spans="3:15">
      <c r="C385" s="548">
        <f>IF(D365="","-",+C384+1)</f>
        <v>2027</v>
      </c>
      <c r="D385" s="506">
        <f t="shared" si="18"/>
        <v>2659050.0608823518</v>
      </c>
      <c r="E385" s="549">
        <f t="shared" si="23"/>
        <v>126621.43147058823</v>
      </c>
      <c r="F385" s="506">
        <f t="shared" si="19"/>
        <v>2532428.6294117635</v>
      </c>
      <c r="G385" s="554">
        <f t="shared" si="20"/>
        <v>513705.32341925369</v>
      </c>
      <c r="H385" s="555">
        <f t="shared" si="21"/>
        <v>513705.32341925369</v>
      </c>
      <c r="I385" s="552">
        <f t="shared" si="22"/>
        <v>0</v>
      </c>
      <c r="J385" s="552"/>
      <c r="K385" s="572"/>
      <c r="L385" s="556"/>
      <c r="M385" s="572"/>
      <c r="N385" s="556"/>
      <c r="O385" s="556"/>
    </row>
    <row r="386" spans="3:15">
      <c r="C386" s="548">
        <f>IF(D365="","-",+C385+1)</f>
        <v>2028</v>
      </c>
      <c r="D386" s="506">
        <f t="shared" si="18"/>
        <v>2532428.6294117635</v>
      </c>
      <c r="E386" s="549">
        <f t="shared" si="23"/>
        <v>126621.43147058823</v>
      </c>
      <c r="F386" s="506">
        <f t="shared" si="19"/>
        <v>2405807.1979411752</v>
      </c>
      <c r="G386" s="554">
        <f t="shared" si="20"/>
        <v>494823.1823485872</v>
      </c>
      <c r="H386" s="555">
        <f t="shared" si="21"/>
        <v>494823.1823485872</v>
      </c>
      <c r="I386" s="552">
        <f t="shared" si="22"/>
        <v>0</v>
      </c>
      <c r="J386" s="552"/>
      <c r="K386" s="572"/>
      <c r="L386" s="556"/>
      <c r="M386" s="572"/>
      <c r="N386" s="556"/>
      <c r="O386" s="556"/>
    </row>
    <row r="387" spans="3:15">
      <c r="C387" s="548">
        <f>IF(D365="","-",+C386+1)</f>
        <v>2029</v>
      </c>
      <c r="D387" s="506">
        <f t="shared" si="18"/>
        <v>2405807.1979411752</v>
      </c>
      <c r="E387" s="549">
        <f t="shared" si="23"/>
        <v>126621.43147058823</v>
      </c>
      <c r="F387" s="506">
        <f t="shared" si="19"/>
        <v>2279185.7664705869</v>
      </c>
      <c r="G387" s="554">
        <f t="shared" si="20"/>
        <v>475941.04127792048</v>
      </c>
      <c r="H387" s="555">
        <f t="shared" si="21"/>
        <v>475941.04127792048</v>
      </c>
      <c r="I387" s="552">
        <f t="shared" si="22"/>
        <v>0</v>
      </c>
      <c r="J387" s="552"/>
      <c r="K387" s="572"/>
      <c r="L387" s="556"/>
      <c r="M387" s="572"/>
      <c r="N387" s="556"/>
      <c r="O387" s="556"/>
    </row>
    <row r="388" spans="3:15">
      <c r="C388" s="548">
        <f>IF(D365="","-",+C387+1)</f>
        <v>2030</v>
      </c>
      <c r="D388" s="506">
        <f t="shared" si="18"/>
        <v>2279185.7664705869</v>
      </c>
      <c r="E388" s="549">
        <f t="shared" si="23"/>
        <v>126621.43147058823</v>
      </c>
      <c r="F388" s="506">
        <f t="shared" si="19"/>
        <v>2152564.3349999986</v>
      </c>
      <c r="G388" s="554">
        <f t="shared" si="20"/>
        <v>457058.90020725387</v>
      </c>
      <c r="H388" s="555">
        <f t="shared" si="21"/>
        <v>457058.90020725387</v>
      </c>
      <c r="I388" s="552">
        <f t="shared" si="22"/>
        <v>0</v>
      </c>
      <c r="J388" s="552"/>
      <c r="K388" s="572"/>
      <c r="L388" s="556"/>
      <c r="M388" s="572"/>
      <c r="N388" s="556"/>
      <c r="O388" s="556"/>
    </row>
    <row r="389" spans="3:15">
      <c r="C389" s="548">
        <f>IF(D365="","-",+C388+1)</f>
        <v>2031</v>
      </c>
      <c r="D389" s="506">
        <f t="shared" si="18"/>
        <v>2152564.3349999986</v>
      </c>
      <c r="E389" s="549">
        <f t="shared" si="23"/>
        <v>126621.43147058823</v>
      </c>
      <c r="F389" s="506">
        <f t="shared" si="19"/>
        <v>2025942.9035294103</v>
      </c>
      <c r="G389" s="554">
        <f t="shared" si="20"/>
        <v>438176.75913658726</v>
      </c>
      <c r="H389" s="555">
        <f t="shared" si="21"/>
        <v>438176.75913658726</v>
      </c>
      <c r="I389" s="552">
        <f t="shared" si="22"/>
        <v>0</v>
      </c>
      <c r="J389" s="552"/>
      <c r="K389" s="572"/>
      <c r="L389" s="556"/>
      <c r="M389" s="572"/>
      <c r="N389" s="556"/>
      <c r="O389" s="556"/>
    </row>
    <row r="390" spans="3:15">
      <c r="C390" s="548">
        <f>IF(D365="","-",+C389+1)</f>
        <v>2032</v>
      </c>
      <c r="D390" s="506">
        <f t="shared" si="18"/>
        <v>2025942.9035294103</v>
      </c>
      <c r="E390" s="549">
        <f t="shared" si="23"/>
        <v>126621.43147058823</v>
      </c>
      <c r="F390" s="506">
        <f t="shared" si="19"/>
        <v>1899321.4720588219</v>
      </c>
      <c r="G390" s="554">
        <f t="shared" si="20"/>
        <v>419294.61806592066</v>
      </c>
      <c r="H390" s="555">
        <f t="shared" si="21"/>
        <v>419294.61806592066</v>
      </c>
      <c r="I390" s="552">
        <f t="shared" si="22"/>
        <v>0</v>
      </c>
      <c r="J390" s="552"/>
      <c r="K390" s="572"/>
      <c r="L390" s="556"/>
      <c r="M390" s="572"/>
      <c r="N390" s="556"/>
      <c r="O390" s="556"/>
    </row>
    <row r="391" spans="3:15">
      <c r="C391" s="548">
        <f>IF(D365="","-",+C390+1)</f>
        <v>2033</v>
      </c>
      <c r="D391" s="506">
        <f t="shared" si="18"/>
        <v>1899321.4720588219</v>
      </c>
      <c r="E391" s="549">
        <f t="shared" si="23"/>
        <v>126621.43147058823</v>
      </c>
      <c r="F391" s="506">
        <f t="shared" si="19"/>
        <v>1772700.0405882336</v>
      </c>
      <c r="G391" s="554">
        <f t="shared" si="20"/>
        <v>400412.47699525394</v>
      </c>
      <c r="H391" s="555">
        <f t="shared" si="21"/>
        <v>400412.47699525394</v>
      </c>
      <c r="I391" s="552">
        <f t="shared" si="22"/>
        <v>0</v>
      </c>
      <c r="J391" s="552"/>
      <c r="K391" s="572"/>
      <c r="L391" s="556"/>
      <c r="M391" s="572"/>
      <c r="N391" s="556"/>
      <c r="O391" s="556"/>
    </row>
    <row r="392" spans="3:15">
      <c r="C392" s="548">
        <f>IF(D365="","-",+C391+1)</f>
        <v>2034</v>
      </c>
      <c r="D392" s="506">
        <f t="shared" si="18"/>
        <v>1772700.0405882336</v>
      </c>
      <c r="E392" s="549">
        <f t="shared" si="23"/>
        <v>126621.43147058823</v>
      </c>
      <c r="F392" s="506">
        <f t="shared" si="19"/>
        <v>1646078.6091176453</v>
      </c>
      <c r="G392" s="554">
        <f t="shared" si="20"/>
        <v>381530.33592458733</v>
      </c>
      <c r="H392" s="555">
        <f t="shared" si="21"/>
        <v>381530.33592458733</v>
      </c>
      <c r="I392" s="552">
        <f t="shared" si="22"/>
        <v>0</v>
      </c>
      <c r="J392" s="552"/>
      <c r="K392" s="572"/>
      <c r="L392" s="556"/>
      <c r="M392" s="572"/>
      <c r="N392" s="556"/>
      <c r="O392" s="556"/>
    </row>
    <row r="393" spans="3:15">
      <c r="C393" s="548">
        <f>IF(D365="","-",+C392+1)</f>
        <v>2035</v>
      </c>
      <c r="D393" s="506">
        <f t="shared" si="18"/>
        <v>1646078.6091176453</v>
      </c>
      <c r="E393" s="549">
        <f t="shared" si="23"/>
        <v>126621.43147058823</v>
      </c>
      <c r="F393" s="506">
        <f t="shared" si="19"/>
        <v>1519457.177647057</v>
      </c>
      <c r="G393" s="554">
        <f t="shared" si="20"/>
        <v>362648.19485392072</v>
      </c>
      <c r="H393" s="555">
        <f t="shared" si="21"/>
        <v>362648.19485392072</v>
      </c>
      <c r="I393" s="552">
        <f t="shared" si="22"/>
        <v>0</v>
      </c>
      <c r="J393" s="552"/>
      <c r="K393" s="572"/>
      <c r="L393" s="556"/>
      <c r="M393" s="572"/>
      <c r="N393" s="556"/>
      <c r="O393" s="556"/>
    </row>
    <row r="394" spans="3:15">
      <c r="C394" s="548">
        <f>IF(D365="","-",+C393+1)</f>
        <v>2036</v>
      </c>
      <c r="D394" s="506">
        <f t="shared" si="18"/>
        <v>1519457.177647057</v>
      </c>
      <c r="E394" s="549">
        <f t="shared" si="23"/>
        <v>126621.43147058823</v>
      </c>
      <c r="F394" s="506">
        <f t="shared" si="19"/>
        <v>1392835.7461764687</v>
      </c>
      <c r="G394" s="554">
        <f t="shared" si="20"/>
        <v>343766.05378325412</v>
      </c>
      <c r="H394" s="555">
        <f t="shared" si="21"/>
        <v>343766.05378325412</v>
      </c>
      <c r="I394" s="552">
        <f t="shared" si="22"/>
        <v>0</v>
      </c>
      <c r="J394" s="552"/>
      <c r="K394" s="572"/>
      <c r="L394" s="556"/>
      <c r="M394" s="572"/>
      <c r="N394" s="556"/>
      <c r="O394" s="556"/>
    </row>
    <row r="395" spans="3:15">
      <c r="C395" s="548">
        <f>IF(D365="","-",+C394+1)</f>
        <v>2037</v>
      </c>
      <c r="D395" s="506">
        <f t="shared" si="18"/>
        <v>1392835.7461764687</v>
      </c>
      <c r="E395" s="549">
        <f t="shared" si="23"/>
        <v>126621.43147058823</v>
      </c>
      <c r="F395" s="506">
        <f t="shared" si="19"/>
        <v>1266214.3147058804</v>
      </c>
      <c r="G395" s="554">
        <f t="shared" si="20"/>
        <v>324883.91271258745</v>
      </c>
      <c r="H395" s="555">
        <f t="shared" si="21"/>
        <v>324883.91271258745</v>
      </c>
      <c r="I395" s="552">
        <f t="shared" si="22"/>
        <v>0</v>
      </c>
      <c r="J395" s="552"/>
      <c r="K395" s="572"/>
      <c r="L395" s="556"/>
      <c r="M395" s="572"/>
      <c r="N395" s="556"/>
      <c r="O395" s="556"/>
    </row>
    <row r="396" spans="3:15">
      <c r="C396" s="548">
        <f>IF(D365="","-",+C395+1)</f>
        <v>2038</v>
      </c>
      <c r="D396" s="506">
        <f t="shared" si="18"/>
        <v>1266214.3147058804</v>
      </c>
      <c r="E396" s="549">
        <f t="shared" si="23"/>
        <v>126621.43147058823</v>
      </c>
      <c r="F396" s="506">
        <f t="shared" si="19"/>
        <v>1139592.883235292</v>
      </c>
      <c r="G396" s="554">
        <f t="shared" si="20"/>
        <v>306001.77164192079</v>
      </c>
      <c r="H396" s="555">
        <f t="shared" si="21"/>
        <v>306001.77164192079</v>
      </c>
      <c r="I396" s="552">
        <f t="shared" si="22"/>
        <v>0</v>
      </c>
      <c r="J396" s="552"/>
      <c r="K396" s="572"/>
      <c r="L396" s="556"/>
      <c r="M396" s="572"/>
      <c r="N396" s="556"/>
      <c r="O396" s="556"/>
    </row>
    <row r="397" spans="3:15">
      <c r="C397" s="548">
        <f>IF(D365="","-",+C396+1)</f>
        <v>2039</v>
      </c>
      <c r="D397" s="506">
        <f t="shared" si="18"/>
        <v>1139592.883235292</v>
      </c>
      <c r="E397" s="549">
        <f t="shared" si="23"/>
        <v>126621.43147058823</v>
      </c>
      <c r="F397" s="506">
        <f t="shared" si="19"/>
        <v>1012971.4517647038</v>
      </c>
      <c r="G397" s="554">
        <f t="shared" si="20"/>
        <v>287119.63057125418</v>
      </c>
      <c r="H397" s="555">
        <f t="shared" si="21"/>
        <v>287119.63057125418</v>
      </c>
      <c r="I397" s="552">
        <f t="shared" si="22"/>
        <v>0</v>
      </c>
      <c r="J397" s="552"/>
      <c r="K397" s="572"/>
      <c r="L397" s="556"/>
      <c r="M397" s="572"/>
      <c r="N397" s="556"/>
      <c r="O397" s="556"/>
    </row>
    <row r="398" spans="3:15">
      <c r="C398" s="548">
        <f>IF(D365="","-",+C397+1)</f>
        <v>2040</v>
      </c>
      <c r="D398" s="506">
        <f t="shared" si="18"/>
        <v>1012971.4517647038</v>
      </c>
      <c r="E398" s="549">
        <f t="shared" si="23"/>
        <v>126621.43147058823</v>
      </c>
      <c r="F398" s="506">
        <f t="shared" si="19"/>
        <v>886350.02029411565</v>
      </c>
      <c r="G398" s="554">
        <f t="shared" si="20"/>
        <v>268237.48950058757</v>
      </c>
      <c r="H398" s="555">
        <f t="shared" si="21"/>
        <v>268237.48950058757</v>
      </c>
      <c r="I398" s="552">
        <f t="shared" si="22"/>
        <v>0</v>
      </c>
      <c r="J398" s="552"/>
      <c r="K398" s="572"/>
      <c r="L398" s="556"/>
      <c r="M398" s="572"/>
      <c r="N398" s="556"/>
      <c r="O398" s="556"/>
    </row>
    <row r="399" spans="3:15">
      <c r="C399" s="548">
        <f>IF(D365="","-",+C398+1)</f>
        <v>2041</v>
      </c>
      <c r="D399" s="506">
        <f t="shared" si="18"/>
        <v>886350.02029411565</v>
      </c>
      <c r="E399" s="549">
        <f t="shared" si="23"/>
        <v>126621.43147058823</v>
      </c>
      <c r="F399" s="506">
        <f t="shared" si="19"/>
        <v>759728.58882352745</v>
      </c>
      <c r="G399" s="550">
        <f t="shared" si="20"/>
        <v>249355.34842992097</v>
      </c>
      <c r="H399" s="555">
        <f t="shared" si="21"/>
        <v>249355.34842992097</v>
      </c>
      <c r="I399" s="552">
        <f t="shared" si="22"/>
        <v>0</v>
      </c>
      <c r="J399" s="552"/>
      <c r="K399" s="572"/>
      <c r="L399" s="556"/>
      <c r="M399" s="572"/>
      <c r="N399" s="556"/>
      <c r="O399" s="556"/>
    </row>
    <row r="400" spans="3:15">
      <c r="C400" s="548">
        <f>IF(D365="","-",+C399+1)</f>
        <v>2042</v>
      </c>
      <c r="D400" s="506">
        <f t="shared" si="18"/>
        <v>759728.58882352745</v>
      </c>
      <c r="E400" s="549">
        <f t="shared" si="23"/>
        <v>126621.43147058823</v>
      </c>
      <c r="F400" s="506">
        <f t="shared" si="19"/>
        <v>633107.15735293925</v>
      </c>
      <c r="G400" s="554">
        <f t="shared" si="20"/>
        <v>230473.20735925436</v>
      </c>
      <c r="H400" s="555">
        <f t="shared" si="21"/>
        <v>230473.20735925436</v>
      </c>
      <c r="I400" s="552">
        <f t="shared" si="22"/>
        <v>0</v>
      </c>
      <c r="J400" s="552"/>
      <c r="K400" s="572"/>
      <c r="L400" s="556"/>
      <c r="M400" s="572"/>
      <c r="N400" s="556"/>
      <c r="O400" s="556"/>
    </row>
    <row r="401" spans="3:15">
      <c r="C401" s="548">
        <f>IF(D365="","-",+C400+1)</f>
        <v>2043</v>
      </c>
      <c r="D401" s="506">
        <f t="shared" si="18"/>
        <v>633107.15735293925</v>
      </c>
      <c r="E401" s="549">
        <f t="shared" si="23"/>
        <v>126621.43147058823</v>
      </c>
      <c r="F401" s="506">
        <f t="shared" si="19"/>
        <v>506485.72588235105</v>
      </c>
      <c r="G401" s="554">
        <f t="shared" si="20"/>
        <v>211591.06628858772</v>
      </c>
      <c r="H401" s="555">
        <f t="shared" si="21"/>
        <v>211591.06628858772</v>
      </c>
      <c r="I401" s="552">
        <f t="shared" si="22"/>
        <v>0</v>
      </c>
      <c r="J401" s="552"/>
      <c r="K401" s="572"/>
      <c r="L401" s="556"/>
      <c r="M401" s="572"/>
      <c r="N401" s="556"/>
      <c r="O401" s="556"/>
    </row>
    <row r="402" spans="3:15">
      <c r="C402" s="548">
        <f>IF(D365="","-",+C401+1)</f>
        <v>2044</v>
      </c>
      <c r="D402" s="506">
        <f t="shared" si="18"/>
        <v>506485.72588235105</v>
      </c>
      <c r="E402" s="549">
        <f t="shared" si="23"/>
        <v>126621.43147058823</v>
      </c>
      <c r="F402" s="506">
        <f t="shared" si="19"/>
        <v>379864.29441176285</v>
      </c>
      <c r="G402" s="554">
        <f t="shared" si="20"/>
        <v>192708.92521792112</v>
      </c>
      <c r="H402" s="555">
        <f t="shared" si="21"/>
        <v>192708.92521792112</v>
      </c>
      <c r="I402" s="552">
        <f t="shared" si="22"/>
        <v>0</v>
      </c>
      <c r="J402" s="552"/>
      <c r="K402" s="572"/>
      <c r="L402" s="556"/>
      <c r="M402" s="572"/>
      <c r="N402" s="556"/>
      <c r="O402" s="556"/>
    </row>
    <row r="403" spans="3:15">
      <c r="C403" s="548">
        <f>IF(D365="","-",+C402+1)</f>
        <v>2045</v>
      </c>
      <c r="D403" s="506">
        <f t="shared" si="18"/>
        <v>379864.29441176285</v>
      </c>
      <c r="E403" s="549">
        <f t="shared" si="23"/>
        <v>126621.43147058823</v>
      </c>
      <c r="F403" s="506">
        <f t="shared" si="19"/>
        <v>253242.86294117462</v>
      </c>
      <c r="G403" s="554">
        <f t="shared" si="20"/>
        <v>173826.78414725451</v>
      </c>
      <c r="H403" s="555">
        <f t="shared" si="21"/>
        <v>173826.78414725451</v>
      </c>
      <c r="I403" s="552">
        <f t="shared" si="22"/>
        <v>0</v>
      </c>
      <c r="J403" s="552"/>
      <c r="K403" s="572"/>
      <c r="L403" s="556"/>
      <c r="M403" s="572"/>
      <c r="N403" s="556"/>
      <c r="O403" s="556"/>
    </row>
    <row r="404" spans="3:15">
      <c r="C404" s="548">
        <f>IF(D365="","-",+C403+1)</f>
        <v>2046</v>
      </c>
      <c r="D404" s="506">
        <f t="shared" si="18"/>
        <v>253242.86294117462</v>
      </c>
      <c r="E404" s="549">
        <f t="shared" si="23"/>
        <v>126621.43147058823</v>
      </c>
      <c r="F404" s="506">
        <f t="shared" si="19"/>
        <v>126621.43147058639</v>
      </c>
      <c r="G404" s="554">
        <f t="shared" si="20"/>
        <v>154944.64307658788</v>
      </c>
      <c r="H404" s="555">
        <f t="shared" si="21"/>
        <v>154944.64307658788</v>
      </c>
      <c r="I404" s="552">
        <f t="shared" si="22"/>
        <v>0</v>
      </c>
      <c r="J404" s="552"/>
      <c r="K404" s="572"/>
      <c r="L404" s="556"/>
      <c r="M404" s="572"/>
      <c r="N404" s="556"/>
      <c r="O404" s="556"/>
    </row>
    <row r="405" spans="3:15">
      <c r="C405" s="548">
        <f>IF(D365="","-",+C404+1)</f>
        <v>2047</v>
      </c>
      <c r="D405" s="506">
        <f t="shared" si="18"/>
        <v>126621.43147058639</v>
      </c>
      <c r="E405" s="549">
        <f t="shared" si="23"/>
        <v>126621.43147058639</v>
      </c>
      <c r="F405" s="506">
        <f t="shared" si="19"/>
        <v>0</v>
      </c>
      <c r="G405" s="554">
        <f t="shared" si="20"/>
        <v>136062.50200591958</v>
      </c>
      <c r="H405" s="555">
        <f t="shared" si="21"/>
        <v>136062.50200591958</v>
      </c>
      <c r="I405" s="552">
        <f t="shared" si="22"/>
        <v>0</v>
      </c>
      <c r="J405" s="552"/>
      <c r="K405" s="572"/>
      <c r="L405" s="556"/>
      <c r="M405" s="572"/>
      <c r="N405" s="556"/>
      <c r="O405" s="556"/>
    </row>
    <row r="406" spans="3:15">
      <c r="C406" s="548">
        <f>IF(D365="","-",+C405+1)</f>
        <v>2048</v>
      </c>
      <c r="D406" s="506">
        <f t="shared" si="18"/>
        <v>0</v>
      </c>
      <c r="E406" s="549">
        <f t="shared" si="23"/>
        <v>0</v>
      </c>
      <c r="F406" s="506">
        <f t="shared" si="19"/>
        <v>0</v>
      </c>
      <c r="G406" s="554">
        <f t="shared" si="20"/>
        <v>0</v>
      </c>
      <c r="H406" s="555">
        <f t="shared" si="21"/>
        <v>0</v>
      </c>
      <c r="I406" s="552">
        <f t="shared" si="22"/>
        <v>0</v>
      </c>
      <c r="J406" s="552"/>
      <c r="K406" s="572"/>
      <c r="L406" s="556"/>
      <c r="M406" s="572"/>
      <c r="N406" s="556"/>
      <c r="O406" s="556"/>
    </row>
    <row r="407" spans="3:15">
      <c r="C407" s="548">
        <f>IF(D365="","-",+C406+1)</f>
        <v>2049</v>
      </c>
      <c r="D407" s="506">
        <f t="shared" si="18"/>
        <v>0</v>
      </c>
      <c r="E407" s="549">
        <f t="shared" si="23"/>
        <v>0</v>
      </c>
      <c r="F407" s="506">
        <f t="shared" si="19"/>
        <v>0</v>
      </c>
      <c r="G407" s="554">
        <f t="shared" si="20"/>
        <v>0</v>
      </c>
      <c r="H407" s="555">
        <f t="shared" si="21"/>
        <v>0</v>
      </c>
      <c r="I407" s="552">
        <f t="shared" si="22"/>
        <v>0</v>
      </c>
      <c r="J407" s="552"/>
      <c r="K407" s="572"/>
      <c r="L407" s="556"/>
      <c r="M407" s="572"/>
      <c r="N407" s="556"/>
      <c r="O407" s="556"/>
    </row>
    <row r="408" spans="3:15">
      <c r="C408" s="548">
        <f>IF(D365="","-",+C407+1)</f>
        <v>2050</v>
      </c>
      <c r="D408" s="506">
        <f t="shared" si="18"/>
        <v>0</v>
      </c>
      <c r="E408" s="549">
        <f t="shared" si="23"/>
        <v>0</v>
      </c>
      <c r="F408" s="506">
        <f t="shared" si="19"/>
        <v>0</v>
      </c>
      <c r="G408" s="554">
        <f t="shared" si="20"/>
        <v>0</v>
      </c>
      <c r="H408" s="555">
        <f t="shared" si="21"/>
        <v>0</v>
      </c>
      <c r="I408" s="552">
        <f t="shared" si="22"/>
        <v>0</v>
      </c>
      <c r="J408" s="552"/>
      <c r="K408" s="572"/>
      <c r="L408" s="556"/>
      <c r="M408" s="572"/>
      <c r="N408" s="556"/>
      <c r="O408" s="556"/>
    </row>
    <row r="409" spans="3:15">
      <c r="C409" s="548">
        <f>IF(D365="","-",+C408+1)</f>
        <v>2051</v>
      </c>
      <c r="D409" s="506">
        <f t="shared" si="18"/>
        <v>0</v>
      </c>
      <c r="E409" s="549">
        <f t="shared" si="23"/>
        <v>0</v>
      </c>
      <c r="F409" s="506">
        <f t="shared" si="19"/>
        <v>0</v>
      </c>
      <c r="G409" s="554">
        <f t="shared" si="20"/>
        <v>0</v>
      </c>
      <c r="H409" s="555">
        <f t="shared" si="21"/>
        <v>0</v>
      </c>
      <c r="I409" s="552">
        <f t="shared" si="22"/>
        <v>0</v>
      </c>
      <c r="J409" s="552"/>
      <c r="K409" s="572"/>
      <c r="L409" s="556"/>
      <c r="M409" s="572"/>
      <c r="N409" s="556"/>
      <c r="O409" s="556"/>
    </row>
    <row r="410" spans="3:15">
      <c r="C410" s="548">
        <f>IF(D365="","-",+C409+1)</f>
        <v>2052</v>
      </c>
      <c r="D410" s="506">
        <f t="shared" si="18"/>
        <v>0</v>
      </c>
      <c r="E410" s="549">
        <f t="shared" si="23"/>
        <v>0</v>
      </c>
      <c r="F410" s="506">
        <f t="shared" si="19"/>
        <v>0</v>
      </c>
      <c r="G410" s="554">
        <f t="shared" si="20"/>
        <v>0</v>
      </c>
      <c r="H410" s="555">
        <f t="shared" si="21"/>
        <v>0</v>
      </c>
      <c r="I410" s="552">
        <f t="shared" si="22"/>
        <v>0</v>
      </c>
      <c r="J410" s="552"/>
      <c r="K410" s="572"/>
      <c r="L410" s="556"/>
      <c r="M410" s="572"/>
      <c r="N410" s="556"/>
      <c r="O410" s="556"/>
    </row>
    <row r="411" spans="3:15">
      <c r="C411" s="548">
        <f>IF(D365="","-",+C410+1)</f>
        <v>2053</v>
      </c>
      <c r="D411" s="506">
        <f t="shared" si="18"/>
        <v>0</v>
      </c>
      <c r="E411" s="549">
        <f t="shared" si="23"/>
        <v>0</v>
      </c>
      <c r="F411" s="506">
        <f t="shared" si="19"/>
        <v>0</v>
      </c>
      <c r="G411" s="554">
        <f t="shared" si="20"/>
        <v>0</v>
      </c>
      <c r="H411" s="555">
        <f t="shared" si="21"/>
        <v>0</v>
      </c>
      <c r="I411" s="552">
        <f t="shared" si="22"/>
        <v>0</v>
      </c>
      <c r="J411" s="552"/>
      <c r="K411" s="572"/>
      <c r="L411" s="556"/>
      <c r="M411" s="572"/>
      <c r="N411" s="556"/>
      <c r="O411" s="556"/>
    </row>
    <row r="412" spans="3:15">
      <c r="C412" s="548">
        <f>IF(D365="","-",+C411+1)</f>
        <v>2054</v>
      </c>
      <c r="D412" s="506">
        <f t="shared" si="18"/>
        <v>0</v>
      </c>
      <c r="E412" s="549">
        <f t="shared" si="23"/>
        <v>0</v>
      </c>
      <c r="F412" s="506">
        <f t="shared" si="19"/>
        <v>0</v>
      </c>
      <c r="G412" s="554">
        <f t="shared" si="20"/>
        <v>0</v>
      </c>
      <c r="H412" s="555">
        <f t="shared" si="21"/>
        <v>0</v>
      </c>
      <c r="I412" s="552">
        <f t="shared" si="22"/>
        <v>0</v>
      </c>
      <c r="J412" s="552"/>
      <c r="K412" s="572"/>
      <c r="L412" s="556"/>
      <c r="M412" s="572"/>
      <c r="N412" s="556"/>
      <c r="O412" s="556"/>
    </row>
    <row r="413" spans="3:15">
      <c r="C413" s="548">
        <f>IF(D365="","-",+C412+1)</f>
        <v>2055</v>
      </c>
      <c r="D413" s="506">
        <f t="shared" si="18"/>
        <v>0</v>
      </c>
      <c r="E413" s="549">
        <f t="shared" si="23"/>
        <v>0</v>
      </c>
      <c r="F413" s="506">
        <f t="shared" si="19"/>
        <v>0</v>
      </c>
      <c r="G413" s="554">
        <f t="shared" si="20"/>
        <v>0</v>
      </c>
      <c r="H413" s="555">
        <f t="shared" si="21"/>
        <v>0</v>
      </c>
      <c r="I413" s="552">
        <f t="shared" si="22"/>
        <v>0</v>
      </c>
      <c r="J413" s="552"/>
      <c r="K413" s="572"/>
      <c r="L413" s="556"/>
      <c r="M413" s="572"/>
      <c r="N413" s="556"/>
      <c r="O413" s="556"/>
    </row>
    <row r="414" spans="3:15">
      <c r="C414" s="548">
        <f>IF(D365="","-",+C413+1)</f>
        <v>2056</v>
      </c>
      <c r="D414" s="506">
        <f t="shared" si="18"/>
        <v>0</v>
      </c>
      <c r="E414" s="549">
        <f t="shared" si="23"/>
        <v>0</v>
      </c>
      <c r="F414" s="506">
        <f t="shared" si="19"/>
        <v>0</v>
      </c>
      <c r="G414" s="554">
        <f t="shared" si="20"/>
        <v>0</v>
      </c>
      <c r="H414" s="555">
        <f t="shared" si="21"/>
        <v>0</v>
      </c>
      <c r="I414" s="552">
        <f t="shared" si="22"/>
        <v>0</v>
      </c>
      <c r="J414" s="552"/>
      <c r="K414" s="572"/>
      <c r="L414" s="556"/>
      <c r="M414" s="572"/>
      <c r="N414" s="556"/>
      <c r="O414" s="556"/>
    </row>
    <row r="415" spans="3:15">
      <c r="C415" s="548">
        <f>IF(D365="","-",+C414+1)</f>
        <v>2057</v>
      </c>
      <c r="D415" s="506">
        <f t="shared" si="18"/>
        <v>0</v>
      </c>
      <c r="E415" s="549">
        <f t="shared" si="23"/>
        <v>0</v>
      </c>
      <c r="F415" s="506">
        <f t="shared" si="19"/>
        <v>0</v>
      </c>
      <c r="G415" s="554">
        <f t="shared" si="20"/>
        <v>0</v>
      </c>
      <c r="H415" s="555">
        <f t="shared" si="21"/>
        <v>0</v>
      </c>
      <c r="I415" s="552">
        <f t="shared" si="22"/>
        <v>0</v>
      </c>
      <c r="J415" s="552"/>
      <c r="K415" s="572"/>
      <c r="L415" s="556"/>
      <c r="M415" s="572"/>
      <c r="N415" s="556"/>
      <c r="O415" s="556"/>
    </row>
    <row r="416" spans="3:15">
      <c r="C416" s="548">
        <f>IF(D365="","-",+C415+1)</f>
        <v>2058</v>
      </c>
      <c r="D416" s="506">
        <f t="shared" si="18"/>
        <v>0</v>
      </c>
      <c r="E416" s="549">
        <f t="shared" si="23"/>
        <v>0</v>
      </c>
      <c r="F416" s="506">
        <f t="shared" si="19"/>
        <v>0</v>
      </c>
      <c r="G416" s="554">
        <f t="shared" si="20"/>
        <v>0</v>
      </c>
      <c r="H416" s="555">
        <f t="shared" si="21"/>
        <v>0</v>
      </c>
      <c r="I416" s="552">
        <f t="shared" si="22"/>
        <v>0</v>
      </c>
      <c r="J416" s="552"/>
      <c r="K416" s="572"/>
      <c r="L416" s="556"/>
      <c r="M416" s="572"/>
      <c r="N416" s="556"/>
      <c r="O416" s="556"/>
    </row>
    <row r="417" spans="3:15">
      <c r="C417" s="548">
        <f>IF(D365="","-",+C416+1)</f>
        <v>2059</v>
      </c>
      <c r="D417" s="506">
        <f t="shared" si="18"/>
        <v>0</v>
      </c>
      <c r="E417" s="549">
        <f t="shared" si="23"/>
        <v>0</v>
      </c>
      <c r="F417" s="506">
        <f t="shared" si="19"/>
        <v>0</v>
      </c>
      <c r="G417" s="554">
        <f t="shared" si="20"/>
        <v>0</v>
      </c>
      <c r="H417" s="555">
        <f t="shared" si="21"/>
        <v>0</v>
      </c>
      <c r="I417" s="552">
        <f t="shared" si="22"/>
        <v>0</v>
      </c>
      <c r="J417" s="552"/>
      <c r="K417" s="572"/>
      <c r="L417" s="556"/>
      <c r="M417" s="572"/>
      <c r="N417" s="556"/>
      <c r="O417" s="556"/>
    </row>
    <row r="418" spans="3:15">
      <c r="C418" s="548">
        <f>IF(D365="","-",+C417+1)</f>
        <v>2060</v>
      </c>
      <c r="D418" s="506">
        <f t="shared" si="18"/>
        <v>0</v>
      </c>
      <c r="E418" s="549">
        <f t="shared" si="23"/>
        <v>0</v>
      </c>
      <c r="F418" s="506">
        <f t="shared" si="19"/>
        <v>0</v>
      </c>
      <c r="G418" s="554">
        <f t="shared" si="20"/>
        <v>0</v>
      </c>
      <c r="H418" s="555">
        <f t="shared" si="21"/>
        <v>0</v>
      </c>
      <c r="I418" s="552">
        <f t="shared" si="22"/>
        <v>0</v>
      </c>
      <c r="J418" s="552"/>
      <c r="K418" s="572"/>
      <c r="L418" s="556"/>
      <c r="M418" s="572"/>
      <c r="N418" s="556"/>
      <c r="O418" s="556"/>
    </row>
    <row r="419" spans="3:15">
      <c r="C419" s="548">
        <f>IF(D365="","-",+C418+1)</f>
        <v>2061</v>
      </c>
      <c r="D419" s="506">
        <f t="shared" si="18"/>
        <v>0</v>
      </c>
      <c r="E419" s="549">
        <f t="shared" si="23"/>
        <v>0</v>
      </c>
      <c r="F419" s="506">
        <f t="shared" si="19"/>
        <v>0</v>
      </c>
      <c r="G419" s="554">
        <f t="shared" si="20"/>
        <v>0</v>
      </c>
      <c r="H419" s="555">
        <f t="shared" si="21"/>
        <v>0</v>
      </c>
      <c r="I419" s="552">
        <f t="shared" si="22"/>
        <v>0</v>
      </c>
      <c r="J419" s="552"/>
      <c r="K419" s="572"/>
      <c r="L419" s="556"/>
      <c r="M419" s="572"/>
      <c r="N419" s="556"/>
      <c r="O419" s="556"/>
    </row>
    <row r="420" spans="3:15">
      <c r="C420" s="548">
        <f>IF(D365="","-",+C419+1)</f>
        <v>2062</v>
      </c>
      <c r="D420" s="506">
        <f t="shared" si="18"/>
        <v>0</v>
      </c>
      <c r="E420" s="549">
        <f t="shared" si="23"/>
        <v>0</v>
      </c>
      <c r="F420" s="506">
        <f t="shared" si="19"/>
        <v>0</v>
      </c>
      <c r="G420" s="554">
        <f t="shared" si="20"/>
        <v>0</v>
      </c>
      <c r="H420" s="555">
        <f t="shared" si="21"/>
        <v>0</v>
      </c>
      <c r="I420" s="552">
        <f t="shared" si="22"/>
        <v>0</v>
      </c>
      <c r="J420" s="552"/>
      <c r="K420" s="572"/>
      <c r="L420" s="556"/>
      <c r="M420" s="572"/>
      <c r="N420" s="556"/>
      <c r="O420" s="556"/>
    </row>
    <row r="421" spans="3:15">
      <c r="C421" s="548">
        <f>IF(D365="","-",+C420+1)</f>
        <v>2063</v>
      </c>
      <c r="D421" s="506">
        <f t="shared" si="18"/>
        <v>0</v>
      </c>
      <c r="E421" s="549">
        <f t="shared" si="23"/>
        <v>0</v>
      </c>
      <c r="F421" s="506">
        <f t="shared" si="19"/>
        <v>0</v>
      </c>
      <c r="G421" s="554">
        <f t="shared" si="20"/>
        <v>0</v>
      </c>
      <c r="H421" s="555">
        <f t="shared" si="21"/>
        <v>0</v>
      </c>
      <c r="I421" s="552">
        <f t="shared" si="22"/>
        <v>0</v>
      </c>
      <c r="J421" s="552"/>
      <c r="K421" s="572"/>
      <c r="L421" s="556"/>
      <c r="M421" s="572"/>
      <c r="N421" s="556"/>
      <c r="O421" s="556"/>
    </row>
    <row r="422" spans="3:15">
      <c r="C422" s="548">
        <f>IF(D365="","-",+C421+1)</f>
        <v>2064</v>
      </c>
      <c r="D422" s="506">
        <f t="shared" si="18"/>
        <v>0</v>
      </c>
      <c r="E422" s="549">
        <f t="shared" si="23"/>
        <v>0</v>
      </c>
      <c r="F422" s="506">
        <f t="shared" si="19"/>
        <v>0</v>
      </c>
      <c r="G422" s="554">
        <f t="shared" si="20"/>
        <v>0</v>
      </c>
      <c r="H422" s="555">
        <f t="shared" si="21"/>
        <v>0</v>
      </c>
      <c r="I422" s="552">
        <f t="shared" si="22"/>
        <v>0</v>
      </c>
      <c r="J422" s="552"/>
      <c r="K422" s="572"/>
      <c r="L422" s="556"/>
      <c r="M422" s="572"/>
      <c r="N422" s="556"/>
      <c r="O422" s="556"/>
    </row>
    <row r="423" spans="3:15">
      <c r="C423" s="548">
        <f>IF(D365="","-",+C422+1)</f>
        <v>2065</v>
      </c>
      <c r="D423" s="506">
        <f t="shared" si="18"/>
        <v>0</v>
      </c>
      <c r="E423" s="549">
        <f t="shared" si="23"/>
        <v>0</v>
      </c>
      <c r="F423" s="506">
        <f t="shared" si="19"/>
        <v>0</v>
      </c>
      <c r="G423" s="554">
        <f t="shared" si="20"/>
        <v>0</v>
      </c>
      <c r="H423" s="555">
        <f t="shared" si="21"/>
        <v>0</v>
      </c>
      <c r="I423" s="552">
        <f t="shared" si="22"/>
        <v>0</v>
      </c>
      <c r="J423" s="552"/>
      <c r="K423" s="572"/>
      <c r="L423" s="556"/>
      <c r="M423" s="572"/>
      <c r="N423" s="556"/>
      <c r="O423" s="556"/>
    </row>
    <row r="424" spans="3:15">
      <c r="C424" s="548">
        <f>IF(D365="","-",+C423+1)</f>
        <v>2066</v>
      </c>
      <c r="D424" s="506">
        <f t="shared" si="18"/>
        <v>0</v>
      </c>
      <c r="E424" s="549">
        <f t="shared" si="23"/>
        <v>0</v>
      </c>
      <c r="F424" s="506">
        <f t="shared" si="19"/>
        <v>0</v>
      </c>
      <c r="G424" s="554">
        <f t="shared" si="20"/>
        <v>0</v>
      </c>
      <c r="H424" s="555">
        <f t="shared" si="21"/>
        <v>0</v>
      </c>
      <c r="I424" s="552">
        <f t="shared" si="22"/>
        <v>0</v>
      </c>
      <c r="J424" s="552"/>
      <c r="K424" s="572"/>
      <c r="L424" s="556"/>
      <c r="M424" s="572"/>
      <c r="N424" s="556"/>
      <c r="O424" s="556"/>
    </row>
    <row r="425" spans="3:15">
      <c r="C425" s="548">
        <f>IF(D365="","-",+C424+1)</f>
        <v>2067</v>
      </c>
      <c r="D425" s="506">
        <f t="shared" si="18"/>
        <v>0</v>
      </c>
      <c r="E425" s="549">
        <f t="shared" si="23"/>
        <v>0</v>
      </c>
      <c r="F425" s="506">
        <f t="shared" si="19"/>
        <v>0</v>
      </c>
      <c r="G425" s="554">
        <f t="shared" si="20"/>
        <v>0</v>
      </c>
      <c r="H425" s="555">
        <f t="shared" si="21"/>
        <v>0</v>
      </c>
      <c r="I425" s="552">
        <f t="shared" si="22"/>
        <v>0</v>
      </c>
      <c r="J425" s="552"/>
      <c r="K425" s="572"/>
      <c r="L425" s="556"/>
      <c r="M425" s="572"/>
      <c r="N425" s="556"/>
      <c r="O425" s="556"/>
    </row>
    <row r="426" spans="3:15">
      <c r="C426" s="548">
        <f>IF(D365="","-",+C425+1)</f>
        <v>2068</v>
      </c>
      <c r="D426" s="506">
        <f t="shared" si="18"/>
        <v>0</v>
      </c>
      <c r="E426" s="549">
        <f t="shared" si="23"/>
        <v>0</v>
      </c>
      <c r="F426" s="506">
        <f t="shared" si="19"/>
        <v>0</v>
      </c>
      <c r="G426" s="554">
        <f t="shared" si="20"/>
        <v>0</v>
      </c>
      <c r="H426" s="555">
        <f t="shared" si="21"/>
        <v>0</v>
      </c>
      <c r="I426" s="552">
        <f t="shared" si="22"/>
        <v>0</v>
      </c>
      <c r="J426" s="552"/>
      <c r="K426" s="572"/>
      <c r="L426" s="556"/>
      <c r="M426" s="572"/>
      <c r="N426" s="556"/>
      <c r="O426" s="556"/>
    </row>
    <row r="427" spans="3:15">
      <c r="C427" s="548">
        <f>IF(D365="","-",+C426+1)</f>
        <v>2069</v>
      </c>
      <c r="D427" s="506">
        <f t="shared" si="18"/>
        <v>0</v>
      </c>
      <c r="E427" s="549">
        <f t="shared" si="23"/>
        <v>0</v>
      </c>
      <c r="F427" s="506">
        <f t="shared" si="19"/>
        <v>0</v>
      </c>
      <c r="G427" s="554">
        <f t="shared" si="20"/>
        <v>0</v>
      </c>
      <c r="H427" s="555">
        <f t="shared" si="21"/>
        <v>0</v>
      </c>
      <c r="I427" s="552">
        <f t="shared" si="22"/>
        <v>0</v>
      </c>
      <c r="J427" s="552"/>
      <c r="K427" s="572"/>
      <c r="L427" s="556"/>
      <c r="M427" s="572"/>
      <c r="N427" s="556"/>
      <c r="O427" s="556"/>
    </row>
    <row r="428" spans="3:15">
      <c r="C428" s="548">
        <f>IF(D365="","-",+C427+1)</f>
        <v>2070</v>
      </c>
      <c r="D428" s="506">
        <f t="shared" si="18"/>
        <v>0</v>
      </c>
      <c r="E428" s="549">
        <f t="shared" si="23"/>
        <v>0</v>
      </c>
      <c r="F428" s="506">
        <f t="shared" si="19"/>
        <v>0</v>
      </c>
      <c r="G428" s="554">
        <f t="shared" si="20"/>
        <v>0</v>
      </c>
      <c r="H428" s="555">
        <f t="shared" si="21"/>
        <v>0</v>
      </c>
      <c r="I428" s="552">
        <f t="shared" si="22"/>
        <v>0</v>
      </c>
      <c r="J428" s="552"/>
      <c r="K428" s="572"/>
      <c r="L428" s="556"/>
      <c r="M428" s="572"/>
      <c r="N428" s="556"/>
      <c r="O428" s="556"/>
    </row>
    <row r="429" spans="3:15">
      <c r="C429" s="548">
        <f>IF(D365="","-",+C428+1)</f>
        <v>2071</v>
      </c>
      <c r="D429" s="506">
        <f t="shared" si="18"/>
        <v>0</v>
      </c>
      <c r="E429" s="549">
        <f t="shared" si="23"/>
        <v>0</v>
      </c>
      <c r="F429" s="506">
        <f t="shared" si="19"/>
        <v>0</v>
      </c>
      <c r="G429" s="554">
        <f t="shared" si="20"/>
        <v>0</v>
      </c>
      <c r="H429" s="555">
        <f t="shared" si="21"/>
        <v>0</v>
      </c>
      <c r="I429" s="552">
        <f t="shared" si="22"/>
        <v>0</v>
      </c>
      <c r="J429" s="552"/>
      <c r="K429" s="572"/>
      <c r="L429" s="556"/>
      <c r="M429" s="572"/>
      <c r="N429" s="556"/>
      <c r="O429" s="556"/>
    </row>
    <row r="430" spans="3:15" ht="13.5" thickBot="1">
      <c r="C430" s="558">
        <f>IF(D365="","-",+C429+1)</f>
        <v>2072</v>
      </c>
      <c r="D430" s="559">
        <f t="shared" si="18"/>
        <v>0</v>
      </c>
      <c r="E430" s="560">
        <f t="shared" si="23"/>
        <v>0</v>
      </c>
      <c r="F430" s="559">
        <f t="shared" si="19"/>
        <v>0</v>
      </c>
      <c r="G430" s="561">
        <f t="shared" si="20"/>
        <v>0</v>
      </c>
      <c r="H430" s="561">
        <f t="shared" si="21"/>
        <v>0</v>
      </c>
      <c r="I430" s="562">
        <f t="shared" si="22"/>
        <v>0</v>
      </c>
      <c r="J430" s="552"/>
      <c r="K430" s="573"/>
      <c r="L430" s="563"/>
      <c r="M430" s="573"/>
      <c r="N430" s="563"/>
      <c r="O430" s="563"/>
    </row>
    <row r="431" spans="3:15">
      <c r="C431" s="506" t="s">
        <v>83</v>
      </c>
      <c r="D431" s="503"/>
      <c r="E431" s="503">
        <f>SUM(E371:E430)</f>
        <v>4305128.67</v>
      </c>
      <c r="F431" s="503"/>
      <c r="G431" s="503">
        <f>SUM(G371:G430)</f>
        <v>15860999.005247964</v>
      </c>
      <c r="H431" s="503">
        <f>SUM(H371:H430)</f>
        <v>15860999.005247964</v>
      </c>
      <c r="I431" s="503">
        <f>SUM(I371:I430)</f>
        <v>0</v>
      </c>
      <c r="J431" s="503"/>
      <c r="K431" s="503"/>
      <c r="L431" s="503"/>
      <c r="M431" s="503"/>
      <c r="N431" s="503"/>
      <c r="O431" s="3"/>
    </row>
    <row r="432" spans="3:15">
      <c r="D432" s="47"/>
      <c r="E432" s="3"/>
      <c r="F432" s="3"/>
      <c r="G432" s="3"/>
      <c r="H432" s="490"/>
      <c r="I432" s="490"/>
      <c r="J432" s="503"/>
      <c r="K432" s="490"/>
      <c r="L432" s="490"/>
      <c r="M432" s="490"/>
      <c r="N432" s="490"/>
      <c r="O432" s="3"/>
    </row>
    <row r="433" spans="1:16">
      <c r="C433" s="3" t="s">
        <v>13</v>
      </c>
      <c r="D433" s="47"/>
      <c r="E433" s="3"/>
      <c r="F433" s="3"/>
      <c r="G433" s="3"/>
      <c r="H433" s="490"/>
      <c r="I433" s="490"/>
      <c r="J433" s="503"/>
      <c r="K433" s="490"/>
      <c r="L433" s="490"/>
      <c r="M433" s="490"/>
      <c r="N433" s="490"/>
      <c r="O433" s="3"/>
    </row>
    <row r="434" spans="1:16">
      <c r="C434" s="3"/>
      <c r="D434" s="47"/>
      <c r="E434" s="3"/>
      <c r="F434" s="3"/>
      <c r="G434" s="3"/>
      <c r="H434" s="490"/>
      <c r="I434" s="490"/>
      <c r="J434" s="503"/>
      <c r="K434" s="490"/>
      <c r="L434" s="490"/>
      <c r="M434" s="490"/>
      <c r="N434" s="490"/>
      <c r="O434" s="3"/>
    </row>
    <row r="435" spans="1:16">
      <c r="C435" s="518" t="s">
        <v>14</v>
      </c>
      <c r="D435" s="506"/>
      <c r="E435" s="506"/>
      <c r="F435" s="506"/>
      <c r="G435" s="503"/>
      <c r="H435" s="503"/>
      <c r="I435" s="564"/>
      <c r="J435" s="564"/>
      <c r="K435" s="564"/>
      <c r="L435" s="564"/>
      <c r="M435" s="564"/>
      <c r="N435" s="564"/>
      <c r="O435" s="3"/>
    </row>
    <row r="436" spans="1:16">
      <c r="C436" s="507" t="s">
        <v>263</v>
      </c>
      <c r="D436" s="506"/>
      <c r="E436" s="506"/>
      <c r="F436" s="506"/>
      <c r="G436" s="503"/>
      <c r="H436" s="503"/>
      <c r="I436" s="564"/>
      <c r="J436" s="564"/>
      <c r="K436" s="564"/>
      <c r="L436" s="564"/>
      <c r="M436" s="564"/>
      <c r="N436" s="564"/>
      <c r="O436" s="3"/>
    </row>
    <row r="437" spans="1:16">
      <c r="C437" s="507" t="s">
        <v>84</v>
      </c>
      <c r="D437" s="506"/>
      <c r="E437" s="506"/>
      <c r="F437" s="506"/>
      <c r="G437" s="503"/>
      <c r="H437" s="503"/>
      <c r="I437" s="564"/>
      <c r="J437" s="564"/>
      <c r="K437" s="564"/>
      <c r="L437" s="564"/>
      <c r="M437" s="564"/>
      <c r="N437" s="564"/>
      <c r="O437" s="3"/>
    </row>
    <row r="438" spans="1:16">
      <c r="C438" s="507"/>
      <c r="D438" s="506"/>
      <c r="E438" s="506"/>
      <c r="F438" s="506"/>
      <c r="G438" s="503"/>
      <c r="H438" s="503"/>
      <c r="I438" s="564"/>
      <c r="J438" s="564"/>
      <c r="K438" s="564"/>
      <c r="L438" s="564"/>
      <c r="M438" s="564"/>
      <c r="N438" s="564"/>
      <c r="O438" s="3"/>
    </row>
    <row r="439" spans="1:16">
      <c r="C439" s="1200" t="s">
        <v>6</v>
      </c>
      <c r="D439" s="1200"/>
      <c r="E439" s="1200"/>
      <c r="F439" s="1200"/>
      <c r="G439" s="1200"/>
      <c r="H439" s="1200"/>
      <c r="I439" s="1200"/>
      <c r="J439" s="1200"/>
      <c r="K439" s="1200"/>
      <c r="L439" s="1200"/>
      <c r="M439" s="1200"/>
      <c r="N439" s="1200"/>
      <c r="O439" s="1200"/>
    </row>
    <row r="440" spans="1:16">
      <c r="C440" s="1200"/>
      <c r="D440" s="1200"/>
      <c r="E440" s="1200"/>
      <c r="F440" s="1200"/>
      <c r="G440" s="1200"/>
      <c r="H440" s="1200"/>
      <c r="I440" s="1200"/>
      <c r="J440" s="1200"/>
      <c r="K440" s="1200"/>
      <c r="L440" s="1200"/>
      <c r="M440" s="1200"/>
      <c r="N440" s="1200"/>
      <c r="O440" s="1200"/>
    </row>
    <row r="441" spans="1:16">
      <c r="C441" s="507"/>
      <c r="D441" s="506"/>
      <c r="E441" s="506"/>
      <c r="F441" s="506"/>
      <c r="G441" s="503"/>
      <c r="H441" s="503"/>
    </row>
    <row r="442" spans="1:16" ht="20.25">
      <c r="A442" s="447" t="str">
        <f>""&amp;A366&amp;" Worksheet J -  ATRR PROJECTED Calculation for PJM Projects Charged to Benefiting Zones"</f>
        <v xml:space="preserve"> Worksheet J -  ATRR PROJECTED Calculation for PJM Projects Charged to Benefiting Zones</v>
      </c>
      <c r="B442" s="3"/>
      <c r="C442" s="3"/>
      <c r="D442" s="47"/>
      <c r="E442" s="3"/>
      <c r="F442" s="489"/>
      <c r="G442" s="3"/>
      <c r="H442" s="490"/>
      <c r="K442" s="398"/>
      <c r="L442" s="398"/>
      <c r="M442" s="398"/>
      <c r="N442" s="398" t="str">
        <f>"Page "&amp;SUM(P$8:P442)&amp;" of "</f>
        <v xml:space="preserve">Page 6 of </v>
      </c>
      <c r="O442" s="448">
        <f>COUNT(P$8:P$56653)</f>
        <v>23</v>
      </c>
      <c r="P442">
        <v>1</v>
      </c>
    </row>
    <row r="443" spans="1:16">
      <c r="B443" s="3"/>
      <c r="C443" s="3"/>
      <c r="D443" s="47"/>
      <c r="E443" s="3"/>
      <c r="F443" s="3"/>
      <c r="G443" s="3"/>
      <c r="H443" s="490"/>
      <c r="I443" s="3"/>
      <c r="J443" s="3"/>
      <c r="K443" s="3"/>
      <c r="L443" s="3"/>
      <c r="M443" s="3"/>
      <c r="N443" s="3"/>
      <c r="O443" s="3"/>
    </row>
    <row r="444" spans="1:16" ht="18">
      <c r="B444" s="449" t="s">
        <v>464</v>
      </c>
      <c r="C444" s="122" t="s">
        <v>85</v>
      </c>
      <c r="D444" s="47"/>
      <c r="E444" s="3"/>
      <c r="F444" s="3"/>
      <c r="G444" s="3"/>
      <c r="H444" s="490"/>
      <c r="I444" s="490"/>
      <c r="J444" s="503"/>
      <c r="K444" s="490"/>
      <c r="L444" s="490"/>
      <c r="M444" s="490"/>
      <c r="N444" s="490"/>
      <c r="O444" s="3"/>
    </row>
    <row r="445" spans="1:16" ht="18.75">
      <c r="B445" s="449"/>
      <c r="C445" s="6"/>
      <c r="D445" s="47"/>
      <c r="E445" s="3"/>
      <c r="F445" s="3"/>
      <c r="G445" s="3"/>
      <c r="H445" s="490"/>
      <c r="I445" s="490"/>
      <c r="J445" s="503"/>
      <c r="K445" s="490"/>
      <c r="L445" s="490"/>
      <c r="M445" s="490"/>
      <c r="N445" s="490"/>
      <c r="O445" s="3"/>
    </row>
    <row r="446" spans="1:16" ht="18.75">
      <c r="B446" s="449"/>
      <c r="C446" s="6" t="s">
        <v>86</v>
      </c>
      <c r="D446" s="47"/>
      <c r="E446" s="3"/>
      <c r="F446" s="3"/>
      <c r="G446" s="3"/>
      <c r="H446" s="490"/>
      <c r="I446" s="490"/>
      <c r="J446" s="503"/>
      <c r="K446" s="490"/>
      <c r="L446" s="490"/>
      <c r="M446" s="490"/>
      <c r="N446" s="490"/>
      <c r="O446" s="3"/>
    </row>
    <row r="447" spans="1:16" ht="15.75" thickBot="1">
      <c r="C447" s="131"/>
      <c r="D447" s="47"/>
      <c r="E447" s="3"/>
      <c r="F447" s="3"/>
      <c r="G447" s="3"/>
      <c r="H447" s="490"/>
      <c r="I447" s="490"/>
      <c r="J447" s="503"/>
      <c r="K447" s="490"/>
      <c r="L447" s="490"/>
      <c r="M447" s="490"/>
      <c r="N447" s="490"/>
      <c r="O447" s="3"/>
    </row>
    <row r="448" spans="1:16" ht="15.75">
      <c r="C448" s="451" t="s">
        <v>87</v>
      </c>
      <c r="D448" s="47"/>
      <c r="E448" s="3"/>
      <c r="F448" s="3"/>
      <c r="G448" s="566"/>
      <c r="H448" s="3" t="s">
        <v>66</v>
      </c>
      <c r="I448" s="3"/>
      <c r="J448" s="3"/>
      <c r="K448" s="509" t="s">
        <v>91</v>
      </c>
      <c r="L448" s="510"/>
      <c r="M448" s="511"/>
      <c r="N448" s="512">
        <f>IF(I454=0,0,VLOOKUP(I454,C461:O520,5))</f>
        <v>132376.57621098578</v>
      </c>
      <c r="O448" s="3"/>
    </row>
    <row r="449" spans="2:15" ht="15.75">
      <c r="C449" s="451"/>
      <c r="D449" s="47"/>
      <c r="E449" s="3"/>
      <c r="F449" s="3"/>
      <c r="G449" s="3"/>
      <c r="H449" s="513"/>
      <c r="I449" s="513"/>
      <c r="J449" s="514"/>
      <c r="K449" s="515" t="s">
        <v>92</v>
      </c>
      <c r="L449" s="516"/>
      <c r="M449" s="3"/>
      <c r="N449" s="517">
        <f>IF(I454=0,0,VLOOKUP(I454,C461:O520,6))</f>
        <v>132376.57621098578</v>
      </c>
      <c r="O449" s="3"/>
    </row>
    <row r="450" spans="2:15" ht="13.5" thickBot="1">
      <c r="C450" s="518" t="s">
        <v>88</v>
      </c>
      <c r="D450" s="1194" t="s">
        <v>806</v>
      </c>
      <c r="E450" s="1194"/>
      <c r="F450" s="1194"/>
      <c r="G450" s="1194"/>
      <c r="H450" s="1194"/>
      <c r="I450" s="1194"/>
      <c r="J450" s="503"/>
      <c r="K450" s="519" t="s">
        <v>230</v>
      </c>
      <c r="L450" s="520"/>
      <c r="M450" s="520"/>
      <c r="N450" s="521">
        <f>+N449-N448</f>
        <v>0</v>
      </c>
      <c r="O450" s="3"/>
    </row>
    <row r="451" spans="2:15">
      <c r="C451" s="522"/>
      <c r="D451" s="523"/>
      <c r="E451" s="506"/>
      <c r="F451" s="506"/>
      <c r="G451" s="524"/>
      <c r="H451" s="490"/>
      <c r="I451" s="490"/>
      <c r="J451" s="503"/>
      <c r="K451" s="490"/>
      <c r="L451" s="490"/>
      <c r="M451" s="490"/>
      <c r="N451" s="490"/>
      <c r="O451" s="3"/>
    </row>
    <row r="452" spans="2:15" ht="13.5" thickBot="1">
      <c r="C452" s="522"/>
      <c r="D452" s="3"/>
      <c r="E452" s="524"/>
      <c r="F452" s="524"/>
      <c r="G452" s="524"/>
      <c r="H452" s="524"/>
      <c r="I452" s="524"/>
      <c r="J452" s="524"/>
      <c r="K452" s="524"/>
      <c r="L452" s="524"/>
      <c r="M452" s="524"/>
      <c r="N452" s="524"/>
      <c r="O452" s="3"/>
    </row>
    <row r="453" spans="2:15" ht="13.5" thickBot="1">
      <c r="C453" s="525" t="s">
        <v>89</v>
      </c>
      <c r="D453" s="526"/>
      <c r="E453" s="526"/>
      <c r="F453" s="526"/>
      <c r="G453" s="526"/>
      <c r="H453" s="526"/>
      <c r="I453" s="527"/>
      <c r="K453" s="3"/>
      <c r="L453" s="3"/>
      <c r="M453" s="3"/>
      <c r="N453" s="3"/>
      <c r="O453" s="3"/>
    </row>
    <row r="454" spans="2:15" ht="15">
      <c r="C454" s="528" t="s">
        <v>67</v>
      </c>
      <c r="D454" s="568">
        <v>1076416.06</v>
      </c>
      <c r="E454" s="3" t="s">
        <v>68</v>
      </c>
      <c r="G454" s="47"/>
      <c r="H454" s="47"/>
      <c r="I454" s="529">
        <f>$L$26</f>
        <v>2026</v>
      </c>
      <c r="J454" s="70"/>
      <c r="K454" s="1193" t="s">
        <v>239</v>
      </c>
      <c r="L454" s="1193"/>
      <c r="M454" s="1193"/>
      <c r="N454" s="1193"/>
      <c r="O454" s="1193"/>
    </row>
    <row r="455" spans="2:15">
      <c r="C455" s="528" t="s">
        <v>70</v>
      </c>
      <c r="D455" s="569">
        <v>2013</v>
      </c>
      <c r="E455" s="528" t="s">
        <v>71</v>
      </c>
      <c r="F455" s="47"/>
      <c r="H455"/>
      <c r="I455" s="570">
        <f>IF(G448="",0,$F$17)</f>
        <v>0</v>
      </c>
      <c r="J455" s="530"/>
      <c r="K455" s="503" t="s">
        <v>239</v>
      </c>
    </row>
    <row r="456" spans="2:15">
      <c r="C456" s="528" t="s">
        <v>72</v>
      </c>
      <c r="D456" s="568">
        <v>10</v>
      </c>
      <c r="E456" s="528" t="s">
        <v>73</v>
      </c>
      <c r="F456" s="47"/>
      <c r="H456"/>
      <c r="I456" s="531">
        <f>$G$70</f>
        <v>0.14912278949438812</v>
      </c>
      <c r="J456" s="489"/>
      <c r="K456" t="str">
        <f>"          INPUT PROJECTED ARR (WITH &amp; WITHOUT INCENTIVES) FROM EACH PRIOR YEAR"</f>
        <v xml:space="preserve">          INPUT PROJECTED ARR (WITH &amp; WITHOUT INCENTIVES) FROM EACH PRIOR YEAR</v>
      </c>
    </row>
    <row r="457" spans="2:15">
      <c r="C457" s="528" t="s">
        <v>74</v>
      </c>
      <c r="D457" s="532">
        <f>$G$79</f>
        <v>34</v>
      </c>
      <c r="E457" s="528" t="s">
        <v>75</v>
      </c>
      <c r="F457" s="47"/>
      <c r="H457"/>
      <c r="I457" s="531">
        <f>IF(G448="",I456,$G$69)</f>
        <v>0.14912278949438812</v>
      </c>
      <c r="J457" s="489"/>
      <c r="K457" t="s">
        <v>152</v>
      </c>
    </row>
    <row r="458" spans="2:15" ht="13.5" thickBot="1">
      <c r="C458" s="528" t="s">
        <v>76</v>
      </c>
      <c r="D458" s="567" t="s">
        <v>802</v>
      </c>
      <c r="E458" s="533" t="s">
        <v>77</v>
      </c>
      <c r="F458" s="534"/>
      <c r="G458" s="535"/>
      <c r="H458" s="535"/>
      <c r="I458" s="521">
        <f>IF(D454=0,0,D454/D457)</f>
        <v>31659.295882352944</v>
      </c>
      <c r="J458" s="503"/>
      <c r="K458" s="503" t="s">
        <v>158</v>
      </c>
      <c r="L458" s="503"/>
      <c r="M458" s="503"/>
      <c r="N458" s="503"/>
      <c r="O458" s="3"/>
    </row>
    <row r="459" spans="2:15" ht="38.25">
      <c r="B459" s="450"/>
      <c r="C459" s="536" t="s">
        <v>67</v>
      </c>
      <c r="D459" s="537" t="s">
        <v>78</v>
      </c>
      <c r="E459" s="538" t="s">
        <v>79</v>
      </c>
      <c r="F459" s="537" t="s">
        <v>80</v>
      </c>
      <c r="G459" s="538" t="s">
        <v>151</v>
      </c>
      <c r="H459" s="539" t="s">
        <v>151</v>
      </c>
      <c r="I459" s="536" t="s">
        <v>90</v>
      </c>
      <c r="J459" s="540"/>
      <c r="K459" s="538" t="s">
        <v>160</v>
      </c>
      <c r="L459" s="541"/>
      <c r="M459" s="538" t="s">
        <v>160</v>
      </c>
      <c r="N459" s="541"/>
      <c r="O459" s="541"/>
    </row>
    <row r="460" spans="2:15" ht="13.5" thickBot="1">
      <c r="C460" s="542" t="s">
        <v>467</v>
      </c>
      <c r="D460" s="543" t="s">
        <v>468</v>
      </c>
      <c r="E460" s="542" t="s">
        <v>361</v>
      </c>
      <c r="F460" s="543" t="s">
        <v>468</v>
      </c>
      <c r="G460" s="544" t="s">
        <v>93</v>
      </c>
      <c r="H460" s="545" t="s">
        <v>95</v>
      </c>
      <c r="I460" s="542" t="s">
        <v>15</v>
      </c>
      <c r="J460" s="546"/>
      <c r="K460" s="544" t="s">
        <v>82</v>
      </c>
      <c r="L460" s="547"/>
      <c r="M460" s="544" t="s">
        <v>95</v>
      </c>
      <c r="N460" s="547"/>
      <c r="O460" s="547"/>
    </row>
    <row r="461" spans="2:15">
      <c r="C461" s="548">
        <f>IF(D455= "","-",D455)</f>
        <v>2013</v>
      </c>
      <c r="D461" s="506">
        <f>+D454</f>
        <v>1076416.06</v>
      </c>
      <c r="E461" s="549">
        <f>+I458/12*(12-D456)</f>
        <v>5276.5493137254907</v>
      </c>
      <c r="F461" s="506">
        <f>+D461-E461</f>
        <v>1071139.5106862746</v>
      </c>
      <c r="G461" s="723">
        <f>+$I$96*((D461+F461)/2)+E461</f>
        <v>165401.28796120043</v>
      </c>
      <c r="H461" s="724">
        <f>$I$97*((D461+F461)/2)+E461</f>
        <v>165401.28796120043</v>
      </c>
      <c r="I461" s="552">
        <f>+H461-G461</f>
        <v>0</v>
      </c>
      <c r="J461" s="552"/>
      <c r="K461" s="571">
        <v>124755</v>
      </c>
      <c r="L461" s="553"/>
      <c r="M461" s="571">
        <v>124755</v>
      </c>
      <c r="N461" s="553"/>
      <c r="O461" s="553"/>
    </row>
    <row r="462" spans="2:15">
      <c r="C462" s="548">
        <f>IF(D455="","-",+C461+1)</f>
        <v>2014</v>
      </c>
      <c r="D462" s="506">
        <f t="shared" ref="D462:D520" si="24">F461</f>
        <v>1071139.5106862746</v>
      </c>
      <c r="E462" s="549">
        <f>IF(D462&gt;$I$458,$I$458,D462)</f>
        <v>31659.295882352944</v>
      </c>
      <c r="F462" s="506">
        <f t="shared" ref="F462:F520" si="25">+D462-E462</f>
        <v>1039480.2148039216</v>
      </c>
      <c r="G462" s="554">
        <f t="shared" ref="G462:G520" si="26">+$I$96*((D462+F462)/2)+E462</f>
        <v>189030.04639584184</v>
      </c>
      <c r="H462" s="555">
        <f t="shared" ref="H462:H520" si="27">$I$97*((D462+F462)/2)+E462</f>
        <v>189030.04639584184</v>
      </c>
      <c r="I462" s="552">
        <f t="shared" ref="I462:I520" si="28">+H462-G462</f>
        <v>0</v>
      </c>
      <c r="J462" s="552"/>
      <c r="K462" s="572">
        <v>140765</v>
      </c>
      <c r="L462" s="556"/>
      <c r="M462" s="572">
        <v>140765</v>
      </c>
      <c r="N462" s="556"/>
      <c r="O462" s="556"/>
    </row>
    <row r="463" spans="2:15">
      <c r="C463" s="548">
        <f>IF(D455="","-",+C462+1)</f>
        <v>2015</v>
      </c>
      <c r="D463" s="506">
        <f t="shared" si="24"/>
        <v>1039480.2148039216</v>
      </c>
      <c r="E463" s="549">
        <f t="shared" ref="E463:E520" si="29">IF(D463&gt;$I$458,$I$458,D463)</f>
        <v>31659.295882352944</v>
      </c>
      <c r="F463" s="506">
        <f t="shared" si="25"/>
        <v>1007820.9189215687</v>
      </c>
      <c r="G463" s="554">
        <f t="shared" si="26"/>
        <v>184308.92388043719</v>
      </c>
      <c r="H463" s="555">
        <f t="shared" si="27"/>
        <v>184308.92388043719</v>
      </c>
      <c r="I463" s="552">
        <f t="shared" si="28"/>
        <v>0</v>
      </c>
      <c r="J463" s="552"/>
      <c r="K463" s="572">
        <v>137783</v>
      </c>
      <c r="L463" s="556"/>
      <c r="M463" s="572">
        <v>137783</v>
      </c>
      <c r="N463" s="556"/>
      <c r="O463" s="556"/>
    </row>
    <row r="464" spans="2:15">
      <c r="C464" s="548">
        <f>IF(D455="","-",+C463+1)</f>
        <v>2016</v>
      </c>
      <c r="D464" s="506">
        <f t="shared" si="24"/>
        <v>1007820.9189215687</v>
      </c>
      <c r="E464" s="549">
        <f t="shared" si="29"/>
        <v>31659.295882352944</v>
      </c>
      <c r="F464" s="506">
        <f t="shared" si="25"/>
        <v>976161.62303921569</v>
      </c>
      <c r="G464" s="554">
        <f t="shared" si="26"/>
        <v>179587.80136503247</v>
      </c>
      <c r="H464" s="555">
        <f t="shared" si="27"/>
        <v>179587.80136503247</v>
      </c>
      <c r="I464" s="552">
        <f t="shared" si="28"/>
        <v>0</v>
      </c>
      <c r="J464" s="552"/>
      <c r="K464" s="572">
        <v>151179</v>
      </c>
      <c r="L464" s="556"/>
      <c r="M464" s="572">
        <v>151179</v>
      </c>
      <c r="N464" s="556"/>
      <c r="O464" s="556"/>
    </row>
    <row r="465" spans="3:15">
      <c r="C465" s="548">
        <f>IF(D455="","-",+C464+1)</f>
        <v>2017</v>
      </c>
      <c r="D465" s="506">
        <f t="shared" si="24"/>
        <v>976161.62303921569</v>
      </c>
      <c r="E465" s="549">
        <f t="shared" si="29"/>
        <v>31659.295882352944</v>
      </c>
      <c r="F465" s="506">
        <f t="shared" si="25"/>
        <v>944502.32715686271</v>
      </c>
      <c r="G465" s="554">
        <f t="shared" si="26"/>
        <v>174866.67884962782</v>
      </c>
      <c r="H465" s="555">
        <f t="shared" si="27"/>
        <v>174866.67884962782</v>
      </c>
      <c r="I465" s="552">
        <f t="shared" si="28"/>
        <v>0</v>
      </c>
      <c r="J465" s="552"/>
      <c r="K465" s="572">
        <v>180849</v>
      </c>
      <c r="L465" s="556"/>
      <c r="M465" s="572">
        <v>180849</v>
      </c>
      <c r="N465" s="556"/>
      <c r="O465" s="556"/>
    </row>
    <row r="466" spans="3:15">
      <c r="C466" s="548">
        <f>IF(D455="","-",+C465+1)</f>
        <v>2018</v>
      </c>
      <c r="D466" s="506">
        <f t="shared" si="24"/>
        <v>944502.32715686271</v>
      </c>
      <c r="E466" s="549">
        <f t="shared" si="29"/>
        <v>31659.295882352944</v>
      </c>
      <c r="F466" s="506">
        <f t="shared" si="25"/>
        <v>912843.03127450973</v>
      </c>
      <c r="G466" s="554">
        <f t="shared" si="26"/>
        <v>170145.55633422313</v>
      </c>
      <c r="H466" s="555">
        <f t="shared" si="27"/>
        <v>170145.55633422313</v>
      </c>
      <c r="I466" s="552">
        <f t="shared" si="28"/>
        <v>0</v>
      </c>
      <c r="J466" s="552"/>
      <c r="K466" s="572">
        <v>160698</v>
      </c>
      <c r="L466" s="556"/>
      <c r="M466" s="572">
        <f>K466</f>
        <v>160698</v>
      </c>
      <c r="N466" s="556"/>
      <c r="O466" s="556"/>
    </row>
    <row r="467" spans="3:15">
      <c r="C467" s="974">
        <f>IF(D455="","-",+C466+1)</f>
        <v>2019</v>
      </c>
      <c r="D467" s="506">
        <f t="shared" si="24"/>
        <v>912843.03127450973</v>
      </c>
      <c r="E467" s="549">
        <f t="shared" si="29"/>
        <v>31659.295882352944</v>
      </c>
      <c r="F467" s="506">
        <f t="shared" si="25"/>
        <v>881183.73539215676</v>
      </c>
      <c r="G467" s="554">
        <f t="shared" si="26"/>
        <v>165424.43381881848</v>
      </c>
      <c r="H467" s="555">
        <f t="shared" si="27"/>
        <v>165424.43381881848</v>
      </c>
      <c r="I467" s="552">
        <f t="shared" si="28"/>
        <v>0</v>
      </c>
      <c r="J467" s="552"/>
      <c r="K467" s="572">
        <v>164397.92128673784</v>
      </c>
      <c r="L467" s="556"/>
      <c r="M467" s="572">
        <v>164397.92128673784</v>
      </c>
      <c r="N467" s="556"/>
      <c r="O467" s="556"/>
    </row>
    <row r="468" spans="3:15">
      <c r="C468" s="974">
        <f>IF(D455="","-",+C467+1)</f>
        <v>2020</v>
      </c>
      <c r="D468" s="506">
        <f t="shared" si="24"/>
        <v>881183.73539215676</v>
      </c>
      <c r="E468" s="549">
        <f t="shared" si="29"/>
        <v>31659.295882352944</v>
      </c>
      <c r="F468" s="506">
        <f t="shared" si="25"/>
        <v>849524.43950980378</v>
      </c>
      <c r="G468" s="554">
        <f t="shared" si="26"/>
        <v>160703.31130341379</v>
      </c>
      <c r="H468" s="555">
        <f t="shared" si="27"/>
        <v>160703.31130341379</v>
      </c>
      <c r="I468" s="552">
        <f t="shared" si="28"/>
        <v>0</v>
      </c>
      <c r="J468" s="552"/>
      <c r="K468" s="572">
        <v>171745.07755803992</v>
      </c>
      <c r="L468" s="556"/>
      <c r="M468" s="572">
        <v>171745.07755803992</v>
      </c>
      <c r="N468" s="556"/>
      <c r="O468" s="556"/>
    </row>
    <row r="469" spans="3:15">
      <c r="C469" s="974">
        <f>IF(D455="","-",+C468+1)</f>
        <v>2021</v>
      </c>
      <c r="D469" s="506">
        <f t="shared" si="24"/>
        <v>849524.43950980378</v>
      </c>
      <c r="E469" s="549">
        <f t="shared" si="29"/>
        <v>31659.295882352944</v>
      </c>
      <c r="F469" s="506">
        <f t="shared" si="25"/>
        <v>817865.1436274508</v>
      </c>
      <c r="G469" s="554">
        <f t="shared" si="26"/>
        <v>155982.18878800914</v>
      </c>
      <c r="H469" s="555">
        <f t="shared" si="27"/>
        <v>155982.18878800914</v>
      </c>
      <c r="I469" s="552">
        <f t="shared" si="28"/>
        <v>0</v>
      </c>
      <c r="J469" s="552"/>
      <c r="K469" s="572">
        <v>154431.7651169888</v>
      </c>
      <c r="L469" s="556"/>
      <c r="M469" s="572">
        <v>154431.7651169888</v>
      </c>
      <c r="N469" s="556"/>
      <c r="O469" s="556"/>
    </row>
    <row r="470" spans="3:15">
      <c r="C470" s="974">
        <f>IF(D455="","-",+C469+1)</f>
        <v>2022</v>
      </c>
      <c r="D470" s="506">
        <f t="shared" si="24"/>
        <v>817865.1436274508</v>
      </c>
      <c r="E470" s="549">
        <f t="shared" si="29"/>
        <v>31659.295882352944</v>
      </c>
      <c r="F470" s="506">
        <f t="shared" si="25"/>
        <v>786205.84774509782</v>
      </c>
      <c r="G470" s="554">
        <f t="shared" si="26"/>
        <v>151261.06627260445</v>
      </c>
      <c r="H470" s="555">
        <f t="shared" si="27"/>
        <v>151261.06627260445</v>
      </c>
      <c r="I470" s="552">
        <f t="shared" si="28"/>
        <v>0</v>
      </c>
      <c r="J470" s="552"/>
      <c r="K470" s="572">
        <v>153871.99633038399</v>
      </c>
      <c r="L470" s="556"/>
      <c r="M470" s="572">
        <v>153871.99633038399</v>
      </c>
      <c r="N470" s="556"/>
      <c r="O470" s="556"/>
    </row>
    <row r="471" spans="3:15">
      <c r="C471" s="974">
        <f>IF(D455="","-",+C470+1)</f>
        <v>2023</v>
      </c>
      <c r="D471" s="506">
        <f t="shared" si="24"/>
        <v>786205.84774509782</v>
      </c>
      <c r="E471" s="549">
        <f t="shared" si="29"/>
        <v>31659.295882352944</v>
      </c>
      <c r="F471" s="506">
        <f t="shared" si="25"/>
        <v>754546.55186274485</v>
      </c>
      <c r="G471" s="554">
        <f t="shared" si="26"/>
        <v>146539.9437571998</v>
      </c>
      <c r="H471" s="555">
        <f t="shared" si="27"/>
        <v>146539.9437571998</v>
      </c>
      <c r="I471" s="552">
        <f t="shared" si="28"/>
        <v>0</v>
      </c>
      <c r="J471" s="552"/>
      <c r="K471" s="572">
        <v>149626.51092724025</v>
      </c>
      <c r="L471" s="556"/>
      <c r="M471" s="572">
        <v>149626.51092724025</v>
      </c>
      <c r="N471" s="556"/>
      <c r="O471" s="556"/>
    </row>
    <row r="472" spans="3:15">
      <c r="C472" s="548">
        <f>IF(D455="","-",+C471+1)</f>
        <v>2024</v>
      </c>
      <c r="D472" s="506">
        <f t="shared" si="24"/>
        <v>754546.55186274485</v>
      </c>
      <c r="E472" s="549">
        <f t="shared" si="29"/>
        <v>31659.295882352944</v>
      </c>
      <c r="F472" s="506">
        <f t="shared" si="25"/>
        <v>722887.25598039187</v>
      </c>
      <c r="G472" s="554">
        <f t="shared" si="26"/>
        <v>141818.82124179511</v>
      </c>
      <c r="H472" s="555">
        <f t="shared" si="27"/>
        <v>141818.82124179511</v>
      </c>
      <c r="I472" s="552">
        <f t="shared" si="28"/>
        <v>0</v>
      </c>
      <c r="J472" s="552"/>
      <c r="K472" s="572">
        <v>142750.19214976224</v>
      </c>
      <c r="L472" s="556"/>
      <c r="M472" s="572">
        <v>142750.19214976224</v>
      </c>
      <c r="N472" s="556"/>
      <c r="O472" s="556"/>
    </row>
    <row r="473" spans="3:15">
      <c r="C473" s="548">
        <f>IF(D455="","-",+C472+1)</f>
        <v>2025</v>
      </c>
      <c r="D473" s="506">
        <f t="shared" si="24"/>
        <v>722887.25598039187</v>
      </c>
      <c r="E473" s="549">
        <f t="shared" si="29"/>
        <v>31659.295882352944</v>
      </c>
      <c r="F473" s="506">
        <f t="shared" si="25"/>
        <v>691227.96009803889</v>
      </c>
      <c r="G473" s="554">
        <f t="shared" si="26"/>
        <v>137097.69872639046</v>
      </c>
      <c r="H473" s="555">
        <f t="shared" si="27"/>
        <v>137097.69872639046</v>
      </c>
      <c r="I473" s="552">
        <f t="shared" si="28"/>
        <v>0</v>
      </c>
      <c r="J473" s="552"/>
      <c r="K473" s="572">
        <v>137742.31203803734</v>
      </c>
      <c r="L473" s="556"/>
      <c r="M473" s="572">
        <v>137742.31203803734</v>
      </c>
      <c r="N473" s="557"/>
      <c r="O473" s="556"/>
    </row>
    <row r="474" spans="3:15">
      <c r="C474" s="955">
        <f>IF(D455="","-",+C473+1)</f>
        <v>2026</v>
      </c>
      <c r="D474" s="506">
        <f t="shared" si="24"/>
        <v>691227.96009803889</v>
      </c>
      <c r="E474" s="549">
        <f t="shared" si="29"/>
        <v>31659.295882352944</v>
      </c>
      <c r="F474" s="506">
        <f t="shared" si="25"/>
        <v>659568.66421568592</v>
      </c>
      <c r="G474" s="554">
        <f t="shared" si="26"/>
        <v>132376.57621098578</v>
      </c>
      <c r="H474" s="555">
        <f t="shared" si="27"/>
        <v>132376.57621098578</v>
      </c>
      <c r="I474" s="552">
        <f t="shared" si="28"/>
        <v>0</v>
      </c>
      <c r="J474" s="552"/>
      <c r="K474" s="572"/>
      <c r="L474" s="556"/>
      <c r="M474" s="572"/>
      <c r="N474" s="556"/>
      <c r="O474" s="556"/>
    </row>
    <row r="475" spans="3:15">
      <c r="C475" s="548">
        <f>IF(D455="","-",+C474+1)</f>
        <v>2027</v>
      </c>
      <c r="D475" s="506">
        <f t="shared" si="24"/>
        <v>659568.66421568592</v>
      </c>
      <c r="E475" s="549">
        <f t="shared" si="29"/>
        <v>31659.295882352944</v>
      </c>
      <c r="F475" s="506">
        <f t="shared" si="25"/>
        <v>627909.36833333294</v>
      </c>
      <c r="G475" s="554">
        <f t="shared" si="26"/>
        <v>127655.45369558112</v>
      </c>
      <c r="H475" s="555">
        <f t="shared" si="27"/>
        <v>127655.45369558112</v>
      </c>
      <c r="I475" s="552">
        <f t="shared" si="28"/>
        <v>0</v>
      </c>
      <c r="J475" s="552"/>
      <c r="K475" s="572"/>
      <c r="L475" s="556"/>
      <c r="M475" s="572"/>
      <c r="N475" s="556"/>
      <c r="O475" s="556"/>
    </row>
    <row r="476" spans="3:15">
      <c r="C476" s="548">
        <f>IF(D455="","-",+C475+1)</f>
        <v>2028</v>
      </c>
      <c r="D476" s="506">
        <f t="shared" si="24"/>
        <v>627909.36833333294</v>
      </c>
      <c r="E476" s="549">
        <f t="shared" si="29"/>
        <v>31659.295882352944</v>
      </c>
      <c r="F476" s="506">
        <f t="shared" si="25"/>
        <v>596250.07245097996</v>
      </c>
      <c r="G476" s="554">
        <f t="shared" si="26"/>
        <v>122934.33118017642</v>
      </c>
      <c r="H476" s="555">
        <f t="shared" si="27"/>
        <v>122934.33118017642</v>
      </c>
      <c r="I476" s="552">
        <f t="shared" si="28"/>
        <v>0</v>
      </c>
      <c r="J476" s="552"/>
      <c r="K476" s="572"/>
      <c r="L476" s="556"/>
      <c r="M476" s="572"/>
      <c r="N476" s="556"/>
      <c r="O476" s="556"/>
    </row>
    <row r="477" spans="3:15">
      <c r="C477" s="548">
        <f>IF(D455="","-",+C476+1)</f>
        <v>2029</v>
      </c>
      <c r="D477" s="506">
        <f t="shared" si="24"/>
        <v>596250.07245097996</v>
      </c>
      <c r="E477" s="549">
        <f t="shared" si="29"/>
        <v>31659.295882352944</v>
      </c>
      <c r="F477" s="506">
        <f t="shared" si="25"/>
        <v>564590.77656862698</v>
      </c>
      <c r="G477" s="554">
        <f t="shared" si="26"/>
        <v>118213.20866477177</v>
      </c>
      <c r="H477" s="555">
        <f t="shared" si="27"/>
        <v>118213.20866477177</v>
      </c>
      <c r="I477" s="552">
        <f t="shared" si="28"/>
        <v>0</v>
      </c>
      <c r="J477" s="552"/>
      <c r="K477" s="572"/>
      <c r="L477" s="556"/>
      <c r="M477" s="572"/>
      <c r="N477" s="556"/>
      <c r="O477" s="556"/>
    </row>
    <row r="478" spans="3:15">
      <c r="C478" s="548">
        <f>IF(D455="","-",+C477+1)</f>
        <v>2030</v>
      </c>
      <c r="D478" s="506">
        <f t="shared" si="24"/>
        <v>564590.77656862698</v>
      </c>
      <c r="E478" s="549">
        <f t="shared" si="29"/>
        <v>31659.295882352944</v>
      </c>
      <c r="F478" s="506">
        <f t="shared" si="25"/>
        <v>532931.48068627401</v>
      </c>
      <c r="G478" s="554">
        <f t="shared" si="26"/>
        <v>113492.08614936708</v>
      </c>
      <c r="H478" s="555">
        <f t="shared" si="27"/>
        <v>113492.08614936708</v>
      </c>
      <c r="I478" s="552">
        <f t="shared" si="28"/>
        <v>0</v>
      </c>
      <c r="J478" s="552"/>
      <c r="K478" s="572"/>
      <c r="L478" s="556"/>
      <c r="M478" s="572"/>
      <c r="N478" s="556"/>
      <c r="O478" s="556"/>
    </row>
    <row r="479" spans="3:15">
      <c r="C479" s="548">
        <f>IF(D455="","-",+C478+1)</f>
        <v>2031</v>
      </c>
      <c r="D479" s="506">
        <f t="shared" si="24"/>
        <v>532931.48068627401</v>
      </c>
      <c r="E479" s="549">
        <f t="shared" si="29"/>
        <v>31659.295882352944</v>
      </c>
      <c r="F479" s="506">
        <f t="shared" si="25"/>
        <v>501272.18480392109</v>
      </c>
      <c r="G479" s="554">
        <f t="shared" si="26"/>
        <v>108770.96363396243</v>
      </c>
      <c r="H479" s="555">
        <f t="shared" si="27"/>
        <v>108770.96363396243</v>
      </c>
      <c r="I479" s="552">
        <f t="shared" si="28"/>
        <v>0</v>
      </c>
      <c r="J479" s="552"/>
      <c r="K479" s="572"/>
      <c r="L479" s="556"/>
      <c r="M479" s="572"/>
      <c r="N479" s="556"/>
      <c r="O479" s="556"/>
    </row>
    <row r="480" spans="3:15">
      <c r="C480" s="548">
        <f>IF(D455="","-",+C479+1)</f>
        <v>2032</v>
      </c>
      <c r="D480" s="506">
        <f t="shared" si="24"/>
        <v>501272.18480392109</v>
      </c>
      <c r="E480" s="549">
        <f t="shared" si="29"/>
        <v>31659.295882352944</v>
      </c>
      <c r="F480" s="506">
        <f t="shared" si="25"/>
        <v>469612.88892156817</v>
      </c>
      <c r="G480" s="554">
        <f t="shared" si="26"/>
        <v>104049.84111855776</v>
      </c>
      <c r="H480" s="555">
        <f t="shared" si="27"/>
        <v>104049.84111855776</v>
      </c>
      <c r="I480" s="552">
        <f t="shared" si="28"/>
        <v>0</v>
      </c>
      <c r="J480" s="552"/>
      <c r="K480" s="572"/>
      <c r="L480" s="556"/>
      <c r="M480" s="572"/>
      <c r="N480" s="556"/>
      <c r="O480" s="556"/>
    </row>
    <row r="481" spans="3:15">
      <c r="C481" s="548">
        <f>IF(D455="","-",+C480+1)</f>
        <v>2033</v>
      </c>
      <c r="D481" s="506">
        <f t="shared" si="24"/>
        <v>469612.88892156817</v>
      </c>
      <c r="E481" s="549">
        <f t="shared" si="29"/>
        <v>31659.295882352944</v>
      </c>
      <c r="F481" s="506">
        <f t="shared" si="25"/>
        <v>437953.59303921525</v>
      </c>
      <c r="G481" s="554">
        <f t="shared" si="26"/>
        <v>99328.718603153102</v>
      </c>
      <c r="H481" s="555">
        <f t="shared" si="27"/>
        <v>99328.718603153102</v>
      </c>
      <c r="I481" s="552">
        <f t="shared" si="28"/>
        <v>0</v>
      </c>
      <c r="J481" s="552"/>
      <c r="K481" s="572"/>
      <c r="L481" s="556"/>
      <c r="M481" s="572"/>
      <c r="N481" s="556"/>
      <c r="O481" s="556"/>
    </row>
    <row r="482" spans="3:15">
      <c r="C482" s="548">
        <f>IF(D455="","-",+C481+1)</f>
        <v>2034</v>
      </c>
      <c r="D482" s="506">
        <f t="shared" si="24"/>
        <v>437953.59303921525</v>
      </c>
      <c r="E482" s="549">
        <f t="shared" si="29"/>
        <v>31659.295882352944</v>
      </c>
      <c r="F482" s="506">
        <f t="shared" si="25"/>
        <v>406294.29715686233</v>
      </c>
      <c r="G482" s="554">
        <f t="shared" si="26"/>
        <v>94607.596087748432</v>
      </c>
      <c r="H482" s="555">
        <f t="shared" si="27"/>
        <v>94607.596087748432</v>
      </c>
      <c r="I482" s="552">
        <f t="shared" si="28"/>
        <v>0</v>
      </c>
      <c r="J482" s="552"/>
      <c r="K482" s="572"/>
      <c r="L482" s="556"/>
      <c r="M482" s="572"/>
      <c r="N482" s="556"/>
      <c r="O482" s="556"/>
    </row>
    <row r="483" spans="3:15">
      <c r="C483" s="548">
        <f>IF(D455="","-",+C482+1)</f>
        <v>2035</v>
      </c>
      <c r="D483" s="506">
        <f t="shared" si="24"/>
        <v>406294.29715686233</v>
      </c>
      <c r="E483" s="549">
        <f t="shared" si="29"/>
        <v>31659.295882352944</v>
      </c>
      <c r="F483" s="506">
        <f t="shared" si="25"/>
        <v>374635.00127450941</v>
      </c>
      <c r="G483" s="554">
        <f t="shared" si="26"/>
        <v>89886.473572343777</v>
      </c>
      <c r="H483" s="555">
        <f t="shared" si="27"/>
        <v>89886.473572343777</v>
      </c>
      <c r="I483" s="552">
        <f t="shared" si="28"/>
        <v>0</v>
      </c>
      <c r="J483" s="552"/>
      <c r="K483" s="572"/>
      <c r="L483" s="556"/>
      <c r="M483" s="572"/>
      <c r="N483" s="556"/>
      <c r="O483" s="556"/>
    </row>
    <row r="484" spans="3:15">
      <c r="C484" s="548">
        <f>IF(D455="","-",+C483+1)</f>
        <v>2036</v>
      </c>
      <c r="D484" s="506">
        <f t="shared" si="24"/>
        <v>374635.00127450941</v>
      </c>
      <c r="E484" s="549">
        <f t="shared" si="29"/>
        <v>31659.295882352944</v>
      </c>
      <c r="F484" s="506">
        <f t="shared" si="25"/>
        <v>342975.70539215649</v>
      </c>
      <c r="G484" s="554">
        <f t="shared" si="26"/>
        <v>85165.351056939107</v>
      </c>
      <c r="H484" s="555">
        <f t="shared" si="27"/>
        <v>85165.351056939107</v>
      </c>
      <c r="I484" s="552">
        <f t="shared" si="28"/>
        <v>0</v>
      </c>
      <c r="J484" s="552"/>
      <c r="K484" s="572"/>
      <c r="L484" s="556"/>
      <c r="M484" s="572"/>
      <c r="N484" s="556"/>
      <c r="O484" s="556"/>
    </row>
    <row r="485" spans="3:15">
      <c r="C485" s="548">
        <f>IF(D455="","-",+C484+1)</f>
        <v>2037</v>
      </c>
      <c r="D485" s="506">
        <f t="shared" si="24"/>
        <v>342975.70539215649</v>
      </c>
      <c r="E485" s="549">
        <f t="shared" si="29"/>
        <v>31659.295882352944</v>
      </c>
      <c r="F485" s="506">
        <f t="shared" si="25"/>
        <v>311316.40950980358</v>
      </c>
      <c r="G485" s="554">
        <f t="shared" si="26"/>
        <v>80444.228541534452</v>
      </c>
      <c r="H485" s="555">
        <f t="shared" si="27"/>
        <v>80444.228541534452</v>
      </c>
      <c r="I485" s="552">
        <f t="shared" si="28"/>
        <v>0</v>
      </c>
      <c r="J485" s="552"/>
      <c r="K485" s="572"/>
      <c r="L485" s="556"/>
      <c r="M485" s="572"/>
      <c r="N485" s="556"/>
      <c r="O485" s="556"/>
    </row>
    <row r="486" spans="3:15">
      <c r="C486" s="548">
        <f>IF(D455="","-",+C485+1)</f>
        <v>2038</v>
      </c>
      <c r="D486" s="506">
        <f t="shared" si="24"/>
        <v>311316.40950980358</v>
      </c>
      <c r="E486" s="549">
        <f t="shared" si="29"/>
        <v>31659.295882352944</v>
      </c>
      <c r="F486" s="506">
        <f t="shared" si="25"/>
        <v>279657.11362745066</v>
      </c>
      <c r="G486" s="554">
        <f t="shared" si="26"/>
        <v>75723.106026129768</v>
      </c>
      <c r="H486" s="555">
        <f t="shared" si="27"/>
        <v>75723.106026129768</v>
      </c>
      <c r="I486" s="552">
        <f t="shared" si="28"/>
        <v>0</v>
      </c>
      <c r="J486" s="552"/>
      <c r="K486" s="572"/>
      <c r="L486" s="556"/>
      <c r="M486" s="572"/>
      <c r="N486" s="556"/>
      <c r="O486" s="556"/>
    </row>
    <row r="487" spans="3:15">
      <c r="C487" s="548">
        <f>IF(D455="","-",+C486+1)</f>
        <v>2039</v>
      </c>
      <c r="D487" s="506">
        <f t="shared" si="24"/>
        <v>279657.11362745066</v>
      </c>
      <c r="E487" s="549">
        <f t="shared" si="29"/>
        <v>31659.295882352944</v>
      </c>
      <c r="F487" s="506">
        <f t="shared" si="25"/>
        <v>247997.81774509771</v>
      </c>
      <c r="G487" s="554">
        <f t="shared" si="26"/>
        <v>71001.983510725113</v>
      </c>
      <c r="H487" s="555">
        <f t="shared" si="27"/>
        <v>71001.983510725113</v>
      </c>
      <c r="I487" s="552">
        <f t="shared" si="28"/>
        <v>0</v>
      </c>
      <c r="J487" s="552"/>
      <c r="K487" s="572"/>
      <c r="L487" s="556"/>
      <c r="M487" s="572"/>
      <c r="N487" s="556"/>
      <c r="O487" s="556"/>
    </row>
    <row r="488" spans="3:15">
      <c r="C488" s="548">
        <f>IF(D455="","-",+C487+1)</f>
        <v>2040</v>
      </c>
      <c r="D488" s="506">
        <f t="shared" si="24"/>
        <v>247997.81774509771</v>
      </c>
      <c r="E488" s="549">
        <f t="shared" si="29"/>
        <v>31659.295882352944</v>
      </c>
      <c r="F488" s="506">
        <f t="shared" si="25"/>
        <v>216338.52186274476</v>
      </c>
      <c r="G488" s="554">
        <f t="shared" si="26"/>
        <v>66280.860995320443</v>
      </c>
      <c r="H488" s="555">
        <f t="shared" si="27"/>
        <v>66280.860995320443</v>
      </c>
      <c r="I488" s="552">
        <f t="shared" si="28"/>
        <v>0</v>
      </c>
      <c r="J488" s="552"/>
      <c r="K488" s="572"/>
      <c r="L488" s="556"/>
      <c r="M488" s="572"/>
      <c r="N488" s="556"/>
      <c r="O488" s="556"/>
    </row>
    <row r="489" spans="3:15">
      <c r="C489" s="548">
        <f>IF(D455="","-",+C488+1)</f>
        <v>2041</v>
      </c>
      <c r="D489" s="506">
        <f t="shared" si="24"/>
        <v>216338.52186274476</v>
      </c>
      <c r="E489" s="549">
        <f t="shared" si="29"/>
        <v>31659.295882352944</v>
      </c>
      <c r="F489" s="506">
        <f t="shared" si="25"/>
        <v>184679.22598039181</v>
      </c>
      <c r="G489" s="550">
        <f t="shared" si="26"/>
        <v>61559.738479915773</v>
      </c>
      <c r="H489" s="555">
        <f t="shared" si="27"/>
        <v>61559.738479915773</v>
      </c>
      <c r="I489" s="552">
        <f t="shared" si="28"/>
        <v>0</v>
      </c>
      <c r="J489" s="552"/>
      <c r="K489" s="572"/>
      <c r="L489" s="556"/>
      <c r="M489" s="572"/>
      <c r="N489" s="556"/>
      <c r="O489" s="556"/>
    </row>
    <row r="490" spans="3:15">
      <c r="C490" s="548">
        <f>IF(D455="","-",+C489+1)</f>
        <v>2042</v>
      </c>
      <c r="D490" s="506">
        <f t="shared" si="24"/>
        <v>184679.22598039181</v>
      </c>
      <c r="E490" s="549">
        <f t="shared" si="29"/>
        <v>31659.295882352944</v>
      </c>
      <c r="F490" s="506">
        <f t="shared" si="25"/>
        <v>153019.93009803887</v>
      </c>
      <c r="G490" s="554">
        <f t="shared" si="26"/>
        <v>56838.615964511118</v>
      </c>
      <c r="H490" s="555">
        <f t="shared" si="27"/>
        <v>56838.615964511118</v>
      </c>
      <c r="I490" s="552">
        <f t="shared" si="28"/>
        <v>0</v>
      </c>
      <c r="J490" s="552"/>
      <c r="K490" s="572"/>
      <c r="L490" s="556"/>
      <c r="M490" s="572"/>
      <c r="N490" s="556"/>
      <c r="O490" s="556"/>
    </row>
    <row r="491" spans="3:15">
      <c r="C491" s="548">
        <f>IF(D455="","-",+C490+1)</f>
        <v>2043</v>
      </c>
      <c r="D491" s="506">
        <f t="shared" si="24"/>
        <v>153019.93009803887</v>
      </c>
      <c r="E491" s="549">
        <f t="shared" si="29"/>
        <v>31659.295882352944</v>
      </c>
      <c r="F491" s="506">
        <f t="shared" si="25"/>
        <v>121360.63421568592</v>
      </c>
      <c r="G491" s="554">
        <f t="shared" si="26"/>
        <v>52117.493449106441</v>
      </c>
      <c r="H491" s="555">
        <f t="shared" si="27"/>
        <v>52117.493449106441</v>
      </c>
      <c r="I491" s="552">
        <f t="shared" si="28"/>
        <v>0</v>
      </c>
      <c r="J491" s="552"/>
      <c r="K491" s="572"/>
      <c r="L491" s="556"/>
      <c r="M491" s="572"/>
      <c r="N491" s="556"/>
      <c r="O491" s="556"/>
    </row>
    <row r="492" spans="3:15">
      <c r="C492" s="548">
        <f>IF(D455="","-",+C491+1)</f>
        <v>2044</v>
      </c>
      <c r="D492" s="506">
        <f t="shared" si="24"/>
        <v>121360.63421568592</v>
      </c>
      <c r="E492" s="549">
        <f t="shared" si="29"/>
        <v>31659.295882352944</v>
      </c>
      <c r="F492" s="506">
        <f t="shared" si="25"/>
        <v>89701.338333332969</v>
      </c>
      <c r="G492" s="554">
        <f t="shared" si="26"/>
        <v>47396.370933701779</v>
      </c>
      <c r="H492" s="555">
        <f t="shared" si="27"/>
        <v>47396.370933701779</v>
      </c>
      <c r="I492" s="552">
        <f t="shared" si="28"/>
        <v>0</v>
      </c>
      <c r="J492" s="552"/>
      <c r="K492" s="572"/>
      <c r="L492" s="556"/>
      <c r="M492" s="572"/>
      <c r="N492" s="556"/>
      <c r="O492" s="556"/>
    </row>
    <row r="493" spans="3:15">
      <c r="C493" s="548">
        <f>IF(D455="","-",+C492+1)</f>
        <v>2045</v>
      </c>
      <c r="D493" s="506">
        <f t="shared" si="24"/>
        <v>89701.338333332969</v>
      </c>
      <c r="E493" s="549">
        <f t="shared" si="29"/>
        <v>31659.295882352944</v>
      </c>
      <c r="F493" s="506">
        <f t="shared" si="25"/>
        <v>58042.042450980021</v>
      </c>
      <c r="G493" s="554">
        <f t="shared" si="26"/>
        <v>42675.248418297109</v>
      </c>
      <c r="H493" s="555">
        <f t="shared" si="27"/>
        <v>42675.248418297109</v>
      </c>
      <c r="I493" s="552">
        <f t="shared" si="28"/>
        <v>0</v>
      </c>
      <c r="J493" s="552"/>
      <c r="K493" s="572"/>
      <c r="L493" s="556"/>
      <c r="M493" s="572"/>
      <c r="N493" s="556"/>
      <c r="O493" s="556"/>
    </row>
    <row r="494" spans="3:15">
      <c r="C494" s="548">
        <f>IF(D455="","-",+C493+1)</f>
        <v>2046</v>
      </c>
      <c r="D494" s="506">
        <f t="shared" si="24"/>
        <v>58042.042450980021</v>
      </c>
      <c r="E494" s="549">
        <f t="shared" si="29"/>
        <v>31659.295882352944</v>
      </c>
      <c r="F494" s="506">
        <f t="shared" si="25"/>
        <v>26382.746568627077</v>
      </c>
      <c r="G494" s="554">
        <f t="shared" si="26"/>
        <v>37954.12590289244</v>
      </c>
      <c r="H494" s="555">
        <f t="shared" si="27"/>
        <v>37954.12590289244</v>
      </c>
      <c r="I494" s="552">
        <f t="shared" si="28"/>
        <v>0</v>
      </c>
      <c r="J494" s="552"/>
      <c r="K494" s="572"/>
      <c r="L494" s="556"/>
      <c r="M494" s="572"/>
      <c r="N494" s="556"/>
      <c r="O494" s="556"/>
    </row>
    <row r="495" spans="3:15">
      <c r="C495" s="548">
        <f>IF(D455="","-",+C494+1)</f>
        <v>2047</v>
      </c>
      <c r="D495" s="506">
        <f t="shared" si="24"/>
        <v>26382.746568627077</v>
      </c>
      <c r="E495" s="549">
        <f t="shared" si="29"/>
        <v>26382.746568627077</v>
      </c>
      <c r="F495" s="506">
        <f t="shared" si="25"/>
        <v>0</v>
      </c>
      <c r="G495" s="554">
        <f t="shared" si="26"/>
        <v>28349.880950045659</v>
      </c>
      <c r="H495" s="555">
        <f t="shared" si="27"/>
        <v>28349.880950045659</v>
      </c>
      <c r="I495" s="552">
        <f t="shared" si="28"/>
        <v>0</v>
      </c>
      <c r="J495" s="552"/>
      <c r="K495" s="572"/>
      <c r="L495" s="556"/>
      <c r="M495" s="572"/>
      <c r="N495" s="556"/>
      <c r="O495" s="556"/>
    </row>
    <row r="496" spans="3:15">
      <c r="C496" s="548">
        <f>IF(D455="","-",+C495+1)</f>
        <v>2048</v>
      </c>
      <c r="D496" s="506">
        <f t="shared" si="24"/>
        <v>0</v>
      </c>
      <c r="E496" s="549">
        <f t="shared" si="29"/>
        <v>0</v>
      </c>
      <c r="F496" s="506">
        <f t="shared" si="25"/>
        <v>0</v>
      </c>
      <c r="G496" s="554">
        <f t="shared" si="26"/>
        <v>0</v>
      </c>
      <c r="H496" s="555">
        <f t="shared" si="27"/>
        <v>0</v>
      </c>
      <c r="I496" s="552">
        <f t="shared" si="28"/>
        <v>0</v>
      </c>
      <c r="J496" s="552"/>
      <c r="K496" s="572"/>
      <c r="L496" s="556"/>
      <c r="M496" s="572"/>
      <c r="N496" s="556"/>
      <c r="O496" s="556"/>
    </row>
    <row r="497" spans="3:15">
      <c r="C497" s="548">
        <f>IF(D455="","-",+C496+1)</f>
        <v>2049</v>
      </c>
      <c r="D497" s="506">
        <f t="shared" si="24"/>
        <v>0</v>
      </c>
      <c r="E497" s="549">
        <f t="shared" si="29"/>
        <v>0</v>
      </c>
      <c r="F497" s="506">
        <f t="shared" si="25"/>
        <v>0</v>
      </c>
      <c r="G497" s="554">
        <f t="shared" si="26"/>
        <v>0</v>
      </c>
      <c r="H497" s="555">
        <f t="shared" si="27"/>
        <v>0</v>
      </c>
      <c r="I497" s="552">
        <f t="shared" si="28"/>
        <v>0</v>
      </c>
      <c r="J497" s="552"/>
      <c r="K497" s="572"/>
      <c r="L497" s="556"/>
      <c r="M497" s="572"/>
      <c r="N497" s="556"/>
      <c r="O497" s="556"/>
    </row>
    <row r="498" spans="3:15">
      <c r="C498" s="548">
        <f>IF(D455="","-",+C497+1)</f>
        <v>2050</v>
      </c>
      <c r="D498" s="506">
        <f t="shared" si="24"/>
        <v>0</v>
      </c>
      <c r="E498" s="549">
        <f t="shared" si="29"/>
        <v>0</v>
      </c>
      <c r="F498" s="506">
        <f t="shared" si="25"/>
        <v>0</v>
      </c>
      <c r="G498" s="554">
        <f t="shared" si="26"/>
        <v>0</v>
      </c>
      <c r="H498" s="555">
        <f t="shared" si="27"/>
        <v>0</v>
      </c>
      <c r="I498" s="552">
        <f t="shared" si="28"/>
        <v>0</v>
      </c>
      <c r="J498" s="552"/>
      <c r="K498" s="572"/>
      <c r="L498" s="556"/>
      <c r="M498" s="572"/>
      <c r="N498" s="556"/>
      <c r="O498" s="556"/>
    </row>
    <row r="499" spans="3:15">
      <c r="C499" s="548">
        <f>IF(D455="","-",+C498+1)</f>
        <v>2051</v>
      </c>
      <c r="D499" s="506">
        <f t="shared" si="24"/>
        <v>0</v>
      </c>
      <c r="E499" s="549">
        <f t="shared" si="29"/>
        <v>0</v>
      </c>
      <c r="F499" s="506">
        <f t="shared" si="25"/>
        <v>0</v>
      </c>
      <c r="G499" s="554">
        <f t="shared" si="26"/>
        <v>0</v>
      </c>
      <c r="H499" s="555">
        <f t="shared" si="27"/>
        <v>0</v>
      </c>
      <c r="I499" s="552">
        <f t="shared" si="28"/>
        <v>0</v>
      </c>
      <c r="J499" s="552"/>
      <c r="K499" s="572"/>
      <c r="L499" s="556"/>
      <c r="M499" s="572"/>
      <c r="N499" s="556"/>
      <c r="O499" s="556"/>
    </row>
    <row r="500" spans="3:15">
      <c r="C500" s="548">
        <f>IF(D455="","-",+C499+1)</f>
        <v>2052</v>
      </c>
      <c r="D500" s="506">
        <f t="shared" si="24"/>
        <v>0</v>
      </c>
      <c r="E500" s="549">
        <f t="shared" si="29"/>
        <v>0</v>
      </c>
      <c r="F500" s="506">
        <f t="shared" si="25"/>
        <v>0</v>
      </c>
      <c r="G500" s="554">
        <f t="shared" si="26"/>
        <v>0</v>
      </c>
      <c r="H500" s="555">
        <f t="shared" si="27"/>
        <v>0</v>
      </c>
      <c r="I500" s="552">
        <f t="shared" si="28"/>
        <v>0</v>
      </c>
      <c r="J500" s="552"/>
      <c r="K500" s="572"/>
      <c r="L500" s="556"/>
      <c r="M500" s="572"/>
      <c r="N500" s="556"/>
      <c r="O500" s="556"/>
    </row>
    <row r="501" spans="3:15">
      <c r="C501" s="548">
        <f>IF(D455="","-",+C500+1)</f>
        <v>2053</v>
      </c>
      <c r="D501" s="506">
        <f t="shared" si="24"/>
        <v>0</v>
      </c>
      <c r="E501" s="549">
        <f t="shared" si="29"/>
        <v>0</v>
      </c>
      <c r="F501" s="506">
        <f t="shared" si="25"/>
        <v>0</v>
      </c>
      <c r="G501" s="554">
        <f t="shared" si="26"/>
        <v>0</v>
      </c>
      <c r="H501" s="555">
        <f t="shared" si="27"/>
        <v>0</v>
      </c>
      <c r="I501" s="552">
        <f t="shared" si="28"/>
        <v>0</v>
      </c>
      <c r="J501" s="552"/>
      <c r="K501" s="572"/>
      <c r="L501" s="556"/>
      <c r="M501" s="572"/>
      <c r="N501" s="556"/>
      <c r="O501" s="556"/>
    </row>
    <row r="502" spans="3:15">
      <c r="C502" s="548">
        <f>IF(D455="","-",+C501+1)</f>
        <v>2054</v>
      </c>
      <c r="D502" s="506">
        <f t="shared" si="24"/>
        <v>0</v>
      </c>
      <c r="E502" s="549">
        <f t="shared" si="29"/>
        <v>0</v>
      </c>
      <c r="F502" s="506">
        <f t="shared" si="25"/>
        <v>0</v>
      </c>
      <c r="G502" s="554">
        <f t="shared" si="26"/>
        <v>0</v>
      </c>
      <c r="H502" s="555">
        <f t="shared" si="27"/>
        <v>0</v>
      </c>
      <c r="I502" s="552">
        <f t="shared" si="28"/>
        <v>0</v>
      </c>
      <c r="J502" s="552"/>
      <c r="K502" s="572"/>
      <c r="L502" s="556"/>
      <c r="M502" s="572"/>
      <c r="N502" s="556"/>
      <c r="O502" s="556"/>
    </row>
    <row r="503" spans="3:15">
      <c r="C503" s="548">
        <f>IF(D455="","-",+C502+1)</f>
        <v>2055</v>
      </c>
      <c r="D503" s="506">
        <f t="shared" si="24"/>
        <v>0</v>
      </c>
      <c r="E503" s="549">
        <f t="shared" si="29"/>
        <v>0</v>
      </c>
      <c r="F503" s="506">
        <f t="shared" si="25"/>
        <v>0</v>
      </c>
      <c r="G503" s="554">
        <f t="shared" si="26"/>
        <v>0</v>
      </c>
      <c r="H503" s="555">
        <f t="shared" si="27"/>
        <v>0</v>
      </c>
      <c r="I503" s="552">
        <f t="shared" si="28"/>
        <v>0</v>
      </c>
      <c r="J503" s="552"/>
      <c r="K503" s="572"/>
      <c r="L503" s="556"/>
      <c r="M503" s="572"/>
      <c r="N503" s="556"/>
      <c r="O503" s="556"/>
    </row>
    <row r="504" spans="3:15">
      <c r="C504" s="548">
        <f>IF(D455="","-",+C503+1)</f>
        <v>2056</v>
      </c>
      <c r="D504" s="506">
        <f t="shared" si="24"/>
        <v>0</v>
      </c>
      <c r="E504" s="549">
        <f t="shared" si="29"/>
        <v>0</v>
      </c>
      <c r="F504" s="506">
        <f t="shared" si="25"/>
        <v>0</v>
      </c>
      <c r="G504" s="554">
        <f t="shared" si="26"/>
        <v>0</v>
      </c>
      <c r="H504" s="555">
        <f t="shared" si="27"/>
        <v>0</v>
      </c>
      <c r="I504" s="552">
        <f t="shared" si="28"/>
        <v>0</v>
      </c>
      <c r="J504" s="552"/>
      <c r="K504" s="572"/>
      <c r="L504" s="556"/>
      <c r="M504" s="572"/>
      <c r="N504" s="556"/>
      <c r="O504" s="556"/>
    </row>
    <row r="505" spans="3:15">
      <c r="C505" s="548">
        <f>IF(D455="","-",+C504+1)</f>
        <v>2057</v>
      </c>
      <c r="D505" s="506">
        <f t="shared" si="24"/>
        <v>0</v>
      </c>
      <c r="E505" s="549">
        <f t="shared" si="29"/>
        <v>0</v>
      </c>
      <c r="F505" s="506">
        <f t="shared" si="25"/>
        <v>0</v>
      </c>
      <c r="G505" s="554">
        <f t="shared" si="26"/>
        <v>0</v>
      </c>
      <c r="H505" s="555">
        <f t="shared" si="27"/>
        <v>0</v>
      </c>
      <c r="I505" s="552">
        <f t="shared" si="28"/>
        <v>0</v>
      </c>
      <c r="J505" s="552"/>
      <c r="K505" s="572"/>
      <c r="L505" s="556"/>
      <c r="M505" s="572"/>
      <c r="N505" s="556"/>
      <c r="O505" s="556"/>
    </row>
    <row r="506" spans="3:15">
      <c r="C506" s="548">
        <f>IF(D455="","-",+C505+1)</f>
        <v>2058</v>
      </c>
      <c r="D506" s="506">
        <f t="shared" si="24"/>
        <v>0</v>
      </c>
      <c r="E506" s="549">
        <f t="shared" si="29"/>
        <v>0</v>
      </c>
      <c r="F506" s="506">
        <f t="shared" si="25"/>
        <v>0</v>
      </c>
      <c r="G506" s="554">
        <f t="shared" si="26"/>
        <v>0</v>
      </c>
      <c r="H506" s="555">
        <f t="shared" si="27"/>
        <v>0</v>
      </c>
      <c r="I506" s="552">
        <f t="shared" si="28"/>
        <v>0</v>
      </c>
      <c r="J506" s="552"/>
      <c r="K506" s="572"/>
      <c r="L506" s="556"/>
      <c r="M506" s="572"/>
      <c r="N506" s="556"/>
      <c r="O506" s="556"/>
    </row>
    <row r="507" spans="3:15">
      <c r="C507" s="548">
        <f>IF(D455="","-",+C506+1)</f>
        <v>2059</v>
      </c>
      <c r="D507" s="506">
        <f t="shared" si="24"/>
        <v>0</v>
      </c>
      <c r="E507" s="549">
        <f t="shared" si="29"/>
        <v>0</v>
      </c>
      <c r="F507" s="506">
        <f t="shared" si="25"/>
        <v>0</v>
      </c>
      <c r="G507" s="554">
        <f t="shared" si="26"/>
        <v>0</v>
      </c>
      <c r="H507" s="555">
        <f t="shared" si="27"/>
        <v>0</v>
      </c>
      <c r="I507" s="552">
        <f t="shared" si="28"/>
        <v>0</v>
      </c>
      <c r="J507" s="552"/>
      <c r="K507" s="572"/>
      <c r="L507" s="556"/>
      <c r="M507" s="572"/>
      <c r="N507" s="556"/>
      <c r="O507" s="556"/>
    </row>
    <row r="508" spans="3:15">
      <c r="C508" s="548">
        <f>IF(D455="","-",+C507+1)</f>
        <v>2060</v>
      </c>
      <c r="D508" s="506">
        <f t="shared" si="24"/>
        <v>0</v>
      </c>
      <c r="E508" s="549">
        <f t="shared" si="29"/>
        <v>0</v>
      </c>
      <c r="F508" s="506">
        <f t="shared" si="25"/>
        <v>0</v>
      </c>
      <c r="G508" s="554">
        <f t="shared" si="26"/>
        <v>0</v>
      </c>
      <c r="H508" s="555">
        <f t="shared" si="27"/>
        <v>0</v>
      </c>
      <c r="I508" s="552">
        <f t="shared" si="28"/>
        <v>0</v>
      </c>
      <c r="J508" s="552"/>
      <c r="K508" s="572"/>
      <c r="L508" s="556"/>
      <c r="M508" s="572"/>
      <c r="N508" s="556"/>
      <c r="O508" s="556"/>
    </row>
    <row r="509" spans="3:15">
      <c r="C509" s="548">
        <f>IF(D455="","-",+C508+1)</f>
        <v>2061</v>
      </c>
      <c r="D509" s="506">
        <f t="shared" si="24"/>
        <v>0</v>
      </c>
      <c r="E509" s="549">
        <f t="shared" si="29"/>
        <v>0</v>
      </c>
      <c r="F509" s="506">
        <f t="shared" si="25"/>
        <v>0</v>
      </c>
      <c r="G509" s="554">
        <f t="shared" si="26"/>
        <v>0</v>
      </c>
      <c r="H509" s="555">
        <f t="shared" si="27"/>
        <v>0</v>
      </c>
      <c r="I509" s="552">
        <f t="shared" si="28"/>
        <v>0</v>
      </c>
      <c r="J509" s="552"/>
      <c r="K509" s="572"/>
      <c r="L509" s="556"/>
      <c r="M509" s="572"/>
      <c r="N509" s="556"/>
      <c r="O509" s="556"/>
    </row>
    <row r="510" spans="3:15">
      <c r="C510" s="548">
        <f>IF(D455="","-",+C509+1)</f>
        <v>2062</v>
      </c>
      <c r="D510" s="506">
        <f t="shared" si="24"/>
        <v>0</v>
      </c>
      <c r="E510" s="549">
        <f t="shared" si="29"/>
        <v>0</v>
      </c>
      <c r="F510" s="506">
        <f t="shared" si="25"/>
        <v>0</v>
      </c>
      <c r="G510" s="554">
        <f t="shared" si="26"/>
        <v>0</v>
      </c>
      <c r="H510" s="555">
        <f t="shared" si="27"/>
        <v>0</v>
      </c>
      <c r="I510" s="552">
        <f t="shared" si="28"/>
        <v>0</v>
      </c>
      <c r="J510" s="552"/>
      <c r="K510" s="572"/>
      <c r="L510" s="556"/>
      <c r="M510" s="572"/>
      <c r="N510" s="556"/>
      <c r="O510" s="556"/>
    </row>
    <row r="511" spans="3:15">
      <c r="C511" s="548">
        <f>IF(D455="","-",+C510+1)</f>
        <v>2063</v>
      </c>
      <c r="D511" s="506">
        <f t="shared" si="24"/>
        <v>0</v>
      </c>
      <c r="E511" s="549">
        <f t="shared" si="29"/>
        <v>0</v>
      </c>
      <c r="F511" s="506">
        <f t="shared" si="25"/>
        <v>0</v>
      </c>
      <c r="G511" s="554">
        <f t="shared" si="26"/>
        <v>0</v>
      </c>
      <c r="H511" s="555">
        <f t="shared" si="27"/>
        <v>0</v>
      </c>
      <c r="I511" s="552">
        <f t="shared" si="28"/>
        <v>0</v>
      </c>
      <c r="J511" s="552"/>
      <c r="K511" s="572"/>
      <c r="L511" s="556"/>
      <c r="M511" s="572"/>
      <c r="N511" s="556"/>
      <c r="O511" s="556"/>
    </row>
    <row r="512" spans="3:15">
      <c r="C512" s="548">
        <f>IF(D455="","-",+C511+1)</f>
        <v>2064</v>
      </c>
      <c r="D512" s="506">
        <f t="shared" si="24"/>
        <v>0</v>
      </c>
      <c r="E512" s="549">
        <f t="shared" si="29"/>
        <v>0</v>
      </c>
      <c r="F512" s="506">
        <f t="shared" si="25"/>
        <v>0</v>
      </c>
      <c r="G512" s="554">
        <f t="shared" si="26"/>
        <v>0</v>
      </c>
      <c r="H512" s="555">
        <f t="shared" si="27"/>
        <v>0</v>
      </c>
      <c r="I512" s="552">
        <f t="shared" si="28"/>
        <v>0</v>
      </c>
      <c r="J512" s="552"/>
      <c r="K512" s="572"/>
      <c r="L512" s="556"/>
      <c r="M512" s="572"/>
      <c r="N512" s="556"/>
      <c r="O512" s="556"/>
    </row>
    <row r="513" spans="3:15">
      <c r="C513" s="548">
        <f>IF(D455="","-",+C512+1)</f>
        <v>2065</v>
      </c>
      <c r="D513" s="506">
        <f t="shared" si="24"/>
        <v>0</v>
      </c>
      <c r="E513" s="549">
        <f t="shared" si="29"/>
        <v>0</v>
      </c>
      <c r="F513" s="506">
        <f t="shared" si="25"/>
        <v>0</v>
      </c>
      <c r="G513" s="554">
        <f t="shared" si="26"/>
        <v>0</v>
      </c>
      <c r="H513" s="555">
        <f t="shared" si="27"/>
        <v>0</v>
      </c>
      <c r="I513" s="552">
        <f t="shared" si="28"/>
        <v>0</v>
      </c>
      <c r="J513" s="552"/>
      <c r="K513" s="572"/>
      <c r="L513" s="556"/>
      <c r="M513" s="572"/>
      <c r="N513" s="556"/>
      <c r="O513" s="556"/>
    </row>
    <row r="514" spans="3:15">
      <c r="C514" s="548">
        <f>IF(D455="","-",+C513+1)</f>
        <v>2066</v>
      </c>
      <c r="D514" s="506">
        <f t="shared" si="24"/>
        <v>0</v>
      </c>
      <c r="E514" s="549">
        <f t="shared" si="29"/>
        <v>0</v>
      </c>
      <c r="F514" s="506">
        <f t="shared" si="25"/>
        <v>0</v>
      </c>
      <c r="G514" s="554">
        <f t="shared" si="26"/>
        <v>0</v>
      </c>
      <c r="H514" s="555">
        <f t="shared" si="27"/>
        <v>0</v>
      </c>
      <c r="I514" s="552">
        <f t="shared" si="28"/>
        <v>0</v>
      </c>
      <c r="J514" s="552"/>
      <c r="K514" s="572"/>
      <c r="L514" s="556"/>
      <c r="M514" s="572"/>
      <c r="N514" s="556"/>
      <c r="O514" s="556"/>
    </row>
    <row r="515" spans="3:15">
      <c r="C515" s="548">
        <f>IF(D455="","-",+C514+1)</f>
        <v>2067</v>
      </c>
      <c r="D515" s="506">
        <f t="shared" si="24"/>
        <v>0</v>
      </c>
      <c r="E515" s="549">
        <f t="shared" si="29"/>
        <v>0</v>
      </c>
      <c r="F515" s="506">
        <f t="shared" si="25"/>
        <v>0</v>
      </c>
      <c r="G515" s="554">
        <f t="shared" si="26"/>
        <v>0</v>
      </c>
      <c r="H515" s="555">
        <f t="shared" si="27"/>
        <v>0</v>
      </c>
      <c r="I515" s="552">
        <f t="shared" si="28"/>
        <v>0</v>
      </c>
      <c r="J515" s="552"/>
      <c r="K515" s="572"/>
      <c r="L515" s="556"/>
      <c r="M515" s="572"/>
      <c r="N515" s="556"/>
      <c r="O515" s="556"/>
    </row>
    <row r="516" spans="3:15">
      <c r="C516" s="548">
        <f>IF(D455="","-",+C515+1)</f>
        <v>2068</v>
      </c>
      <c r="D516" s="506">
        <f t="shared" si="24"/>
        <v>0</v>
      </c>
      <c r="E516" s="549">
        <f t="shared" si="29"/>
        <v>0</v>
      </c>
      <c r="F516" s="506">
        <f t="shared" si="25"/>
        <v>0</v>
      </c>
      <c r="G516" s="554">
        <f t="shared" si="26"/>
        <v>0</v>
      </c>
      <c r="H516" s="555">
        <f t="shared" si="27"/>
        <v>0</v>
      </c>
      <c r="I516" s="552">
        <f t="shared" si="28"/>
        <v>0</v>
      </c>
      <c r="J516" s="552"/>
      <c r="K516" s="572"/>
      <c r="L516" s="556"/>
      <c r="M516" s="572"/>
      <c r="N516" s="556"/>
      <c r="O516" s="556"/>
    </row>
    <row r="517" spans="3:15">
      <c r="C517" s="548">
        <f>IF(D455="","-",+C516+1)</f>
        <v>2069</v>
      </c>
      <c r="D517" s="506">
        <f t="shared" si="24"/>
        <v>0</v>
      </c>
      <c r="E517" s="549">
        <f t="shared" si="29"/>
        <v>0</v>
      </c>
      <c r="F517" s="506">
        <f t="shared" si="25"/>
        <v>0</v>
      </c>
      <c r="G517" s="554">
        <f t="shared" si="26"/>
        <v>0</v>
      </c>
      <c r="H517" s="555">
        <f t="shared" si="27"/>
        <v>0</v>
      </c>
      <c r="I517" s="552">
        <f t="shared" si="28"/>
        <v>0</v>
      </c>
      <c r="J517" s="552"/>
      <c r="K517" s="572"/>
      <c r="L517" s="556"/>
      <c r="M517" s="572"/>
      <c r="N517" s="556"/>
      <c r="O517" s="556"/>
    </row>
    <row r="518" spans="3:15">
      <c r="C518" s="548">
        <f>IF(D455="","-",+C517+1)</f>
        <v>2070</v>
      </c>
      <c r="D518" s="506">
        <f t="shared" si="24"/>
        <v>0</v>
      </c>
      <c r="E518" s="549">
        <f t="shared" si="29"/>
        <v>0</v>
      </c>
      <c r="F518" s="506">
        <f t="shared" si="25"/>
        <v>0</v>
      </c>
      <c r="G518" s="554">
        <f t="shared" si="26"/>
        <v>0</v>
      </c>
      <c r="H518" s="555">
        <f t="shared" si="27"/>
        <v>0</v>
      </c>
      <c r="I518" s="552">
        <f t="shared" si="28"/>
        <v>0</v>
      </c>
      <c r="J518" s="552"/>
      <c r="K518" s="572"/>
      <c r="L518" s="556"/>
      <c r="M518" s="572"/>
      <c r="N518" s="556"/>
      <c r="O518" s="556"/>
    </row>
    <row r="519" spans="3:15">
      <c r="C519" s="548">
        <f>IF(D455="","-",+C518+1)</f>
        <v>2071</v>
      </c>
      <c r="D519" s="506">
        <f t="shared" si="24"/>
        <v>0</v>
      </c>
      <c r="E519" s="549">
        <f t="shared" si="29"/>
        <v>0</v>
      </c>
      <c r="F519" s="506">
        <f t="shared" si="25"/>
        <v>0</v>
      </c>
      <c r="G519" s="554">
        <f t="shared" si="26"/>
        <v>0</v>
      </c>
      <c r="H519" s="555">
        <f t="shared" si="27"/>
        <v>0</v>
      </c>
      <c r="I519" s="552">
        <f t="shared" si="28"/>
        <v>0</v>
      </c>
      <c r="J519" s="552"/>
      <c r="K519" s="572"/>
      <c r="L519" s="556"/>
      <c r="M519" s="572"/>
      <c r="N519" s="556"/>
      <c r="O519" s="556"/>
    </row>
    <row r="520" spans="3:15" ht="13.5" thickBot="1">
      <c r="C520" s="558">
        <f>IF(D455="","-",+C519+1)</f>
        <v>2072</v>
      </c>
      <c r="D520" s="559">
        <f t="shared" si="24"/>
        <v>0</v>
      </c>
      <c r="E520" s="560">
        <f t="shared" si="29"/>
        <v>0</v>
      </c>
      <c r="F520" s="559">
        <f t="shared" si="25"/>
        <v>0</v>
      </c>
      <c r="G520" s="561">
        <f t="shared" si="26"/>
        <v>0</v>
      </c>
      <c r="H520" s="561">
        <f t="shared" si="27"/>
        <v>0</v>
      </c>
      <c r="I520" s="562">
        <f t="shared" si="28"/>
        <v>0</v>
      </c>
      <c r="J520" s="552"/>
      <c r="K520" s="573"/>
      <c r="L520" s="563"/>
      <c r="M520" s="573"/>
      <c r="N520" s="563"/>
      <c r="O520" s="563"/>
    </row>
    <row r="521" spans="3:15">
      <c r="C521" s="506" t="s">
        <v>83</v>
      </c>
      <c r="D521" s="503"/>
      <c r="E521" s="503">
        <f>SUM(E461:E520)</f>
        <v>1076416.06</v>
      </c>
      <c r="F521" s="503"/>
      <c r="G521" s="503">
        <f>SUM(G461:G520)</f>
        <v>3938990.0118403616</v>
      </c>
      <c r="H521" s="503">
        <f>SUM(H461:H520)</f>
        <v>3938990.0118403616</v>
      </c>
      <c r="I521" s="503">
        <f>SUM(I461:I520)</f>
        <v>0</v>
      </c>
      <c r="J521" s="503"/>
      <c r="K521" s="503"/>
      <c r="L521" s="503"/>
      <c r="M521" s="503"/>
      <c r="N521" s="503"/>
      <c r="O521" s="3"/>
    </row>
    <row r="522" spans="3:15">
      <c r="D522" s="47"/>
      <c r="E522" s="3"/>
      <c r="F522" s="3"/>
      <c r="G522" s="3"/>
      <c r="H522" s="490"/>
      <c r="I522" s="490"/>
      <c r="J522" s="503"/>
      <c r="K522" s="490"/>
      <c r="L522" s="490"/>
      <c r="M522" s="490"/>
      <c r="N522" s="490"/>
      <c r="O522" s="3"/>
    </row>
    <row r="523" spans="3:15">
      <c r="C523" s="3" t="s">
        <v>13</v>
      </c>
      <c r="D523" s="47"/>
      <c r="E523" s="3"/>
      <c r="F523" s="3"/>
      <c r="G523" s="3"/>
      <c r="H523" s="490"/>
      <c r="I523" s="490"/>
      <c r="J523" s="503"/>
      <c r="K523" s="490"/>
      <c r="L523" s="490"/>
      <c r="M523" s="490"/>
      <c r="N523" s="490"/>
      <c r="O523" s="3"/>
    </row>
    <row r="524" spans="3:15">
      <c r="C524" s="3"/>
      <c r="D524" s="47"/>
      <c r="E524" s="3"/>
      <c r="F524" s="3"/>
      <c r="G524" s="3"/>
      <c r="H524" s="490"/>
      <c r="I524" s="490"/>
      <c r="J524" s="503"/>
      <c r="K524" s="490"/>
      <c r="L524" s="490"/>
      <c r="M524" s="490"/>
      <c r="N524" s="490"/>
      <c r="O524" s="3"/>
    </row>
    <row r="525" spans="3:15">
      <c r="C525" s="518" t="s">
        <v>14</v>
      </c>
      <c r="D525" s="506"/>
      <c r="E525" s="506"/>
      <c r="F525" s="506"/>
      <c r="G525" s="503"/>
      <c r="H525" s="503"/>
      <c r="I525" s="564"/>
      <c r="J525" s="564"/>
      <c r="K525" s="564"/>
      <c r="L525" s="564"/>
      <c r="M525" s="564"/>
      <c r="N525" s="564"/>
      <c r="O525" s="3"/>
    </row>
    <row r="526" spans="3:15">
      <c r="C526" s="507" t="s">
        <v>263</v>
      </c>
      <c r="D526" s="506"/>
      <c r="E526" s="506"/>
      <c r="F526" s="506"/>
      <c r="G526" s="503"/>
      <c r="H526" s="503"/>
      <c r="I526" s="564"/>
      <c r="J526" s="564"/>
      <c r="K526" s="564"/>
      <c r="L526" s="564"/>
      <c r="M526" s="564"/>
      <c r="N526" s="564"/>
      <c r="O526" s="3"/>
    </row>
    <row r="527" spans="3:15">
      <c r="C527" s="507" t="s">
        <v>84</v>
      </c>
      <c r="D527" s="506"/>
      <c r="E527" s="506"/>
      <c r="F527" s="506"/>
      <c r="G527" s="503"/>
      <c r="H527" s="503"/>
      <c r="I527" s="564"/>
      <c r="J527" s="564"/>
      <c r="K527" s="564"/>
      <c r="L527" s="564"/>
      <c r="M527" s="564"/>
      <c r="N527" s="564"/>
      <c r="O527" s="3"/>
    </row>
    <row r="528" spans="3:15">
      <c r="C528" s="507"/>
      <c r="D528" s="506"/>
      <c r="E528" s="506"/>
      <c r="F528" s="506"/>
      <c r="G528" s="503"/>
      <c r="H528" s="503"/>
      <c r="I528" s="564"/>
      <c r="J528" s="564"/>
      <c r="K528" s="564"/>
      <c r="L528" s="564"/>
      <c r="M528" s="564"/>
      <c r="N528" s="564"/>
      <c r="O528" s="3"/>
    </row>
    <row r="529" spans="1:16">
      <c r="C529" s="1200" t="s">
        <v>6</v>
      </c>
      <c r="D529" s="1200"/>
      <c r="E529" s="1200"/>
      <c r="F529" s="1200"/>
      <c r="G529" s="1200"/>
      <c r="H529" s="1200"/>
      <c r="I529" s="1200"/>
      <c r="J529" s="1200"/>
      <c r="K529" s="1200"/>
      <c r="L529" s="1200"/>
      <c r="M529" s="1200"/>
      <c r="N529" s="1200"/>
      <c r="O529" s="1200"/>
    </row>
    <row r="530" spans="1:16">
      <c r="C530" s="1200"/>
      <c r="D530" s="1200"/>
      <c r="E530" s="1200"/>
      <c r="F530" s="1200"/>
      <c r="G530" s="1200"/>
      <c r="H530" s="1200"/>
      <c r="I530" s="1200"/>
      <c r="J530" s="1200"/>
      <c r="K530" s="1200"/>
      <c r="L530" s="1200"/>
      <c r="M530" s="1200"/>
      <c r="N530" s="1200"/>
      <c r="O530" s="1200"/>
    </row>
    <row r="531" spans="1:16">
      <c r="C531" s="507"/>
      <c r="D531" s="506"/>
      <c r="E531" s="506"/>
      <c r="F531" s="506"/>
      <c r="G531" s="503"/>
      <c r="H531" s="503"/>
    </row>
    <row r="532" spans="1:16" ht="20.25">
      <c r="A532" s="447" t="str">
        <f>""&amp;A456&amp;" Worksheet J -  ATRR PROJECTED Calculation for PJM Projects Charged to Benefiting Zones"</f>
        <v xml:space="preserve"> Worksheet J -  ATRR PROJECTED Calculation for PJM Projects Charged to Benefiting Zones</v>
      </c>
      <c r="B532" s="3"/>
      <c r="C532" s="3"/>
      <c r="D532" s="47"/>
      <c r="E532" s="3"/>
      <c r="F532" s="489"/>
      <c r="G532" s="3"/>
      <c r="H532" s="490"/>
      <c r="K532" s="398"/>
      <c r="L532" s="398"/>
      <c r="M532" s="398"/>
      <c r="N532" s="398" t="str">
        <f>"Page "&amp;SUM(P$8:P532)&amp;" of "</f>
        <v xml:space="preserve">Page 7 of </v>
      </c>
      <c r="O532" s="448">
        <f>COUNT(P$8:P$56653)</f>
        <v>23</v>
      </c>
      <c r="P532">
        <v>1</v>
      </c>
    </row>
    <row r="533" spans="1:16">
      <c r="B533" s="3"/>
      <c r="C533" s="3"/>
      <c r="D533" s="47"/>
      <c r="E533" s="3"/>
      <c r="F533" s="3"/>
      <c r="G533" s="3"/>
      <c r="H533" s="490"/>
      <c r="I533" s="3"/>
      <c r="J533" s="3"/>
      <c r="K533" s="3"/>
      <c r="L533" s="3"/>
      <c r="M533" s="3"/>
      <c r="N533" s="3"/>
      <c r="O533" s="3"/>
    </row>
    <row r="534" spans="1:16" ht="18">
      <c r="B534" s="449" t="s">
        <v>464</v>
      </c>
      <c r="C534" s="122" t="s">
        <v>85</v>
      </c>
      <c r="D534" s="47"/>
      <c r="E534" s="3"/>
      <c r="F534" s="3"/>
      <c r="G534" s="3"/>
      <c r="H534" s="490"/>
      <c r="I534" s="490"/>
      <c r="J534" s="503"/>
      <c r="K534" s="490"/>
      <c r="L534" s="490"/>
      <c r="M534" s="490"/>
      <c r="N534" s="490"/>
      <c r="O534" s="3"/>
    </row>
    <row r="535" spans="1:16" ht="18.75">
      <c r="B535" s="449"/>
      <c r="C535" s="6"/>
      <c r="D535" s="47"/>
      <c r="E535" s="3"/>
      <c r="F535" s="3"/>
      <c r="G535" s="3"/>
      <c r="H535" s="490"/>
      <c r="I535" s="490"/>
      <c r="J535" s="503"/>
      <c r="K535" s="490"/>
      <c r="L535" s="490"/>
      <c r="M535" s="490"/>
      <c r="N535" s="490"/>
      <c r="O535" s="3"/>
    </row>
    <row r="536" spans="1:16" ht="18.75">
      <c r="B536" s="449"/>
      <c r="C536" s="6" t="s">
        <v>86</v>
      </c>
      <c r="D536" s="47"/>
      <c r="E536" s="3"/>
      <c r="F536" s="3"/>
      <c r="G536" s="3"/>
      <c r="H536" s="490"/>
      <c r="I536" s="490"/>
      <c r="J536" s="503"/>
      <c r="K536" s="490"/>
      <c r="L536" s="490"/>
      <c r="M536" s="490"/>
      <c r="N536" s="490"/>
      <c r="O536" s="3"/>
    </row>
    <row r="537" spans="1:16" ht="15.75" thickBot="1">
      <c r="C537" s="131"/>
      <c r="D537" s="47"/>
      <c r="E537" s="3"/>
      <c r="F537" s="3"/>
      <c r="G537" s="3"/>
      <c r="H537" s="490"/>
      <c r="I537" s="490"/>
      <c r="J537" s="503"/>
      <c r="K537" s="490"/>
      <c r="L537" s="490"/>
      <c r="M537" s="490"/>
      <c r="N537" s="490"/>
      <c r="O537" s="3"/>
    </row>
    <row r="538" spans="1:16" ht="15.75">
      <c r="C538" s="451" t="s">
        <v>87</v>
      </c>
      <c r="D538" s="47"/>
      <c r="E538" s="3"/>
      <c r="F538" s="3"/>
      <c r="G538" s="566"/>
      <c r="H538" s="3" t="s">
        <v>66</v>
      </c>
      <c r="I538" s="3"/>
      <c r="J538" s="3"/>
      <c r="K538" s="509" t="s">
        <v>91</v>
      </c>
      <c r="L538" s="510"/>
      <c r="M538" s="511"/>
      <c r="N538" s="512">
        <f>IF(I544=0,0,VLOOKUP(I544,C551:O610,5))</f>
        <v>847371.0313305842</v>
      </c>
      <c r="O538" s="3"/>
    </row>
    <row r="539" spans="1:16" ht="15.75">
      <c r="C539" s="451"/>
      <c r="D539" s="47"/>
      <c r="E539" s="3"/>
      <c r="F539" s="3"/>
      <c r="G539" s="3"/>
      <c r="H539" s="513"/>
      <c r="I539" s="513"/>
      <c r="J539" s="514"/>
      <c r="K539" s="515" t="s">
        <v>92</v>
      </c>
      <c r="L539" s="516"/>
      <c r="M539" s="3"/>
      <c r="N539" s="517">
        <f>IF(I544=0,0,VLOOKUP(I544,C551:O610,6))</f>
        <v>847371.0313305842</v>
      </c>
      <c r="O539" s="3"/>
    </row>
    <row r="540" spans="1:16" ht="13.5" customHeight="1" thickBot="1">
      <c r="C540" s="518" t="s">
        <v>88</v>
      </c>
      <c r="D540" s="1194" t="s">
        <v>807</v>
      </c>
      <c r="E540" s="1194"/>
      <c r="F540" s="1194"/>
      <c r="G540" s="1194"/>
      <c r="H540" s="1194"/>
      <c r="I540" s="1194"/>
      <c r="J540" s="503"/>
      <c r="K540" s="519" t="s">
        <v>230</v>
      </c>
      <c r="L540" s="520"/>
      <c r="M540" s="520"/>
      <c r="N540" s="521">
        <f>+N539-N538</f>
        <v>0</v>
      </c>
      <c r="O540" s="3"/>
    </row>
    <row r="541" spans="1:16">
      <c r="C541" s="522"/>
      <c r="D541" s="1194"/>
      <c r="E541" s="1194"/>
      <c r="F541" s="1194"/>
      <c r="G541" s="1194"/>
      <c r="H541" s="1194"/>
      <c r="I541" s="1194"/>
      <c r="J541" s="503"/>
      <c r="K541" s="490"/>
      <c r="L541" s="490"/>
      <c r="M541" s="490"/>
      <c r="N541" s="490"/>
      <c r="O541" s="3"/>
    </row>
    <row r="542" spans="1:16" ht="13.5" thickBot="1">
      <c r="C542" s="522"/>
      <c r="D542" s="3"/>
      <c r="E542" s="524"/>
      <c r="F542" s="524"/>
      <c r="G542" s="524"/>
      <c r="H542" s="524"/>
      <c r="I542" s="524"/>
      <c r="J542" s="524"/>
      <c r="K542" s="524"/>
      <c r="L542" s="524"/>
      <c r="M542" s="524"/>
      <c r="N542" s="524"/>
      <c r="O542" s="3"/>
    </row>
    <row r="543" spans="1:16" ht="13.5" thickBot="1">
      <c r="C543" s="525" t="s">
        <v>89</v>
      </c>
      <c r="D543" s="526"/>
      <c r="E543" s="526"/>
      <c r="F543" s="526"/>
      <c r="G543" s="526"/>
      <c r="H543" s="526"/>
      <c r="I543" s="527"/>
      <c r="K543" s="3"/>
      <c r="L543" s="3"/>
      <c r="M543" s="3"/>
      <c r="N543" s="3"/>
      <c r="O543" s="3"/>
    </row>
    <row r="544" spans="1:16" ht="15">
      <c r="C544" s="528" t="s">
        <v>67</v>
      </c>
      <c r="D544" s="568">
        <v>6849656.75</v>
      </c>
      <c r="E544" s="3" t="s">
        <v>68</v>
      </c>
      <c r="G544" s="47"/>
      <c r="H544" s="47"/>
      <c r="I544" s="529">
        <f>$L$26</f>
        <v>2026</v>
      </c>
      <c r="J544" s="70"/>
      <c r="K544" s="1193" t="s">
        <v>239</v>
      </c>
      <c r="L544" s="1193"/>
      <c r="M544" s="1193"/>
      <c r="N544" s="1193"/>
      <c r="O544" s="1193"/>
    </row>
    <row r="545" spans="2:15">
      <c r="C545" s="528" t="s">
        <v>70</v>
      </c>
      <c r="D545" s="569">
        <v>2013</v>
      </c>
      <c r="E545" s="528" t="s">
        <v>71</v>
      </c>
      <c r="F545" s="47"/>
      <c r="H545"/>
      <c r="I545" s="570">
        <f>IF(G538="",0,$F$17)</f>
        <v>0</v>
      </c>
      <c r="J545" s="530"/>
      <c r="K545" s="503" t="s">
        <v>239</v>
      </c>
    </row>
    <row r="546" spans="2:15">
      <c r="C546" s="528" t="s">
        <v>72</v>
      </c>
      <c r="D546" s="568">
        <v>12</v>
      </c>
      <c r="E546" s="528" t="s">
        <v>73</v>
      </c>
      <c r="F546" s="47"/>
      <c r="H546"/>
      <c r="I546" s="531">
        <f>$G$70</f>
        <v>0.14912278949438812</v>
      </c>
      <c r="J546" s="489"/>
      <c r="K546" t="str">
        <f>"          INPUT PROJECTED ARR (WITH &amp; WITHOUT INCENTIVES) FROM EACH PRIOR YEAR"</f>
        <v xml:space="preserve">          INPUT PROJECTED ARR (WITH &amp; WITHOUT INCENTIVES) FROM EACH PRIOR YEAR</v>
      </c>
    </row>
    <row r="547" spans="2:15">
      <c r="C547" s="528" t="s">
        <v>74</v>
      </c>
      <c r="D547" s="532">
        <f>$G$79</f>
        <v>34</v>
      </c>
      <c r="E547" s="528" t="s">
        <v>75</v>
      </c>
      <c r="F547" s="47"/>
      <c r="H547"/>
      <c r="I547" s="531">
        <f>IF(G538="",I546,$G$69)</f>
        <v>0.14912278949438812</v>
      </c>
      <c r="J547" s="489"/>
      <c r="K547" t="s">
        <v>152</v>
      </c>
    </row>
    <row r="548" spans="2:15" ht="13.5" thickBot="1">
      <c r="C548" s="528" t="s">
        <v>76</v>
      </c>
      <c r="D548" s="567" t="s">
        <v>802</v>
      </c>
      <c r="E548" s="533" t="s">
        <v>77</v>
      </c>
      <c r="F548" s="534"/>
      <c r="G548" s="535"/>
      <c r="H548" s="535"/>
      <c r="I548" s="521">
        <f>IF(D544=0,0,D544/D547)</f>
        <v>201460.49264705883</v>
      </c>
      <c r="J548" s="503"/>
      <c r="K548" s="503" t="s">
        <v>158</v>
      </c>
      <c r="L548" s="503"/>
      <c r="M548" s="503"/>
      <c r="N548" s="503"/>
      <c r="O548" s="3"/>
    </row>
    <row r="549" spans="2:15" ht="38.25">
      <c r="B549" s="450"/>
      <c r="C549" s="536" t="s">
        <v>67</v>
      </c>
      <c r="D549" s="537" t="s">
        <v>78</v>
      </c>
      <c r="E549" s="538" t="s">
        <v>79</v>
      </c>
      <c r="F549" s="537" t="s">
        <v>80</v>
      </c>
      <c r="G549" s="538" t="s">
        <v>151</v>
      </c>
      <c r="H549" s="539" t="s">
        <v>151</v>
      </c>
      <c r="I549" s="536" t="s">
        <v>90</v>
      </c>
      <c r="J549" s="540"/>
      <c r="K549" s="538" t="s">
        <v>160</v>
      </c>
      <c r="L549" s="541"/>
      <c r="M549" s="538" t="s">
        <v>160</v>
      </c>
      <c r="N549" s="541"/>
      <c r="O549" s="541"/>
    </row>
    <row r="550" spans="2:15" ht="13.5" thickBot="1">
      <c r="C550" s="542" t="s">
        <v>467</v>
      </c>
      <c r="D550" s="543" t="s">
        <v>468</v>
      </c>
      <c r="E550" s="542" t="s">
        <v>361</v>
      </c>
      <c r="F550" s="543" t="s">
        <v>468</v>
      </c>
      <c r="G550" s="544" t="s">
        <v>93</v>
      </c>
      <c r="H550" s="545" t="s">
        <v>95</v>
      </c>
      <c r="I550" s="542" t="s">
        <v>15</v>
      </c>
      <c r="J550" s="546"/>
      <c r="K550" s="544" t="s">
        <v>82</v>
      </c>
      <c r="L550" s="547"/>
      <c r="M550" s="544" t="s">
        <v>95</v>
      </c>
      <c r="N550" s="547"/>
      <c r="O550" s="547"/>
    </row>
    <row r="551" spans="2:15">
      <c r="C551" s="548">
        <f>IF(D545= "","-",D545)</f>
        <v>2013</v>
      </c>
      <c r="D551" s="506">
        <f>+D544</f>
        <v>6849656.75</v>
      </c>
      <c r="E551" s="549">
        <f>+I548/12*(12-D546)</f>
        <v>0</v>
      </c>
      <c r="F551" s="506">
        <f>+D551-E551</f>
        <v>6849656.75</v>
      </c>
      <c r="G551" s="723">
        <f>+$I$96*((D551+F551)/2)+E551</f>
        <v>1021439.9216390647</v>
      </c>
      <c r="H551" s="724">
        <f>$I$97*((D551+F551)/2)+E551</f>
        <v>1021439.9216390647</v>
      </c>
      <c r="I551" s="552">
        <f>+H551-G551</f>
        <v>0</v>
      </c>
      <c r="J551" s="552"/>
      <c r="K551" s="571">
        <v>576980</v>
      </c>
      <c r="L551" s="553"/>
      <c r="M551" s="571">
        <v>576980</v>
      </c>
      <c r="N551" s="553"/>
      <c r="O551" s="553"/>
    </row>
    <row r="552" spans="2:15">
      <c r="C552" s="548">
        <f>IF(D545="","-",+C551+1)</f>
        <v>2014</v>
      </c>
      <c r="D552" s="506">
        <f t="shared" ref="D552:D610" si="30">F551</f>
        <v>6849656.75</v>
      </c>
      <c r="E552" s="549">
        <f>IF(D552&gt;$I$548,$I$548,D552)</f>
        <v>201460.49264705883</v>
      </c>
      <c r="F552" s="506">
        <f t="shared" ref="F552:F610" si="31">+D552-E552</f>
        <v>6648196.2573529407</v>
      </c>
      <c r="G552" s="554">
        <f t="shared" ref="G552:G610" si="32">+$I$96*((D552+F552)/2)+E552</f>
        <v>1207879.238967902</v>
      </c>
      <c r="H552" s="555">
        <f t="shared" ref="H552:H610" si="33">$I$97*((D552+F552)/2)+E552</f>
        <v>1207879.238967902</v>
      </c>
      <c r="I552" s="552">
        <f t="shared" ref="I552:I610" si="34">+H552-G552</f>
        <v>0</v>
      </c>
      <c r="J552" s="552"/>
      <c r="K552" s="572">
        <v>900905</v>
      </c>
      <c r="L552" s="556"/>
      <c r="M552" s="572">
        <v>900905</v>
      </c>
      <c r="N552" s="556"/>
      <c r="O552" s="556"/>
    </row>
    <row r="553" spans="2:15">
      <c r="C553" s="548">
        <f>IF(D545="","-",+C552+1)</f>
        <v>2015</v>
      </c>
      <c r="D553" s="506">
        <f t="shared" si="30"/>
        <v>6648196.2573529407</v>
      </c>
      <c r="E553" s="549">
        <f t="shared" ref="E553:E610" si="35">IF(D553&gt;$I$548,$I$548,D553)</f>
        <v>201460.49264705883</v>
      </c>
      <c r="F553" s="506">
        <f t="shared" si="31"/>
        <v>6446735.7647058815</v>
      </c>
      <c r="G553" s="554">
        <f t="shared" si="32"/>
        <v>1177836.8883314589</v>
      </c>
      <c r="H553" s="555">
        <f t="shared" si="33"/>
        <v>1177836.8883314589</v>
      </c>
      <c r="I553" s="552">
        <f t="shared" si="34"/>
        <v>0</v>
      </c>
      <c r="J553" s="552"/>
      <c r="K553" s="572">
        <v>882849</v>
      </c>
      <c r="L553" s="556"/>
      <c r="M553" s="572">
        <v>882849</v>
      </c>
      <c r="N553" s="556"/>
      <c r="O553" s="556"/>
    </row>
    <row r="554" spans="2:15">
      <c r="C554" s="548">
        <f>IF(D545="","-",+C553+1)</f>
        <v>2016</v>
      </c>
      <c r="D554" s="506">
        <f t="shared" si="30"/>
        <v>6446735.7647058815</v>
      </c>
      <c r="E554" s="549">
        <f t="shared" si="35"/>
        <v>201460.49264705883</v>
      </c>
      <c r="F554" s="506">
        <f t="shared" si="31"/>
        <v>6245275.2720588222</v>
      </c>
      <c r="G554" s="554">
        <f t="shared" si="32"/>
        <v>1147794.5376950155</v>
      </c>
      <c r="H554" s="555">
        <f t="shared" si="33"/>
        <v>1147794.5376950155</v>
      </c>
      <c r="I554" s="552">
        <f t="shared" si="34"/>
        <v>0</v>
      </c>
      <c r="J554" s="552"/>
      <c r="K554" s="572">
        <v>964681</v>
      </c>
      <c r="L554" s="556"/>
      <c r="M554" s="572">
        <v>964681</v>
      </c>
      <c r="N554" s="556"/>
      <c r="O554" s="556"/>
    </row>
    <row r="555" spans="2:15">
      <c r="C555" s="548">
        <f>IF(D545="","-",+C554+1)</f>
        <v>2017</v>
      </c>
      <c r="D555" s="506">
        <f t="shared" si="30"/>
        <v>6245275.2720588222</v>
      </c>
      <c r="E555" s="549">
        <f t="shared" si="35"/>
        <v>201460.49264705883</v>
      </c>
      <c r="F555" s="506">
        <f t="shared" si="31"/>
        <v>6043814.779411763</v>
      </c>
      <c r="G555" s="554">
        <f t="shared" si="32"/>
        <v>1117752.1870585724</v>
      </c>
      <c r="H555" s="555">
        <f t="shared" si="33"/>
        <v>1117752.1870585724</v>
      </c>
      <c r="I555" s="552">
        <f t="shared" si="34"/>
        <v>0</v>
      </c>
      <c r="J555" s="552"/>
      <c r="K555" s="572">
        <v>1154533</v>
      </c>
      <c r="L555" s="556"/>
      <c r="M555" s="572">
        <v>1154533</v>
      </c>
      <c r="N555" s="556"/>
      <c r="O555" s="556"/>
    </row>
    <row r="556" spans="2:15">
      <c r="C556" s="974">
        <f>IF(D545="","-",+C555+1)</f>
        <v>2018</v>
      </c>
      <c r="D556" s="506">
        <f t="shared" si="30"/>
        <v>6043814.779411763</v>
      </c>
      <c r="E556" s="549">
        <f t="shared" si="35"/>
        <v>201460.49264705883</v>
      </c>
      <c r="F556" s="506">
        <f t="shared" si="31"/>
        <v>5842354.2867647037</v>
      </c>
      <c r="G556" s="554">
        <f t="shared" si="32"/>
        <v>1087709.8364221293</v>
      </c>
      <c r="H556" s="555">
        <f t="shared" si="33"/>
        <v>1087709.8364221293</v>
      </c>
      <c r="I556" s="552">
        <f t="shared" si="34"/>
        <v>0</v>
      </c>
      <c r="J556" s="552"/>
      <c r="K556" s="572">
        <v>1026972</v>
      </c>
      <c r="L556" s="556"/>
      <c r="M556" s="572">
        <v>1026972</v>
      </c>
      <c r="N556" s="556"/>
      <c r="O556" s="556"/>
    </row>
    <row r="557" spans="2:15">
      <c r="C557" s="974">
        <f>IF(D545="","-",+C556+1)</f>
        <v>2019</v>
      </c>
      <c r="D557" s="506">
        <f t="shared" si="30"/>
        <v>5842354.2867647037</v>
      </c>
      <c r="E557" s="549">
        <f t="shared" si="35"/>
        <v>201460.49264705883</v>
      </c>
      <c r="F557" s="506">
        <f t="shared" si="31"/>
        <v>5640893.7941176444</v>
      </c>
      <c r="G557" s="554">
        <f t="shared" si="32"/>
        <v>1057667.4857856862</v>
      </c>
      <c r="H557" s="555">
        <f t="shared" si="33"/>
        <v>1057667.4857856862</v>
      </c>
      <c r="I557" s="552">
        <f t="shared" si="34"/>
        <v>0</v>
      </c>
      <c r="J557" s="552"/>
      <c r="K557" s="572">
        <v>1049916.1932080418</v>
      </c>
      <c r="L557" s="556"/>
      <c r="M557" s="572">
        <v>1049916.1932080418</v>
      </c>
      <c r="N557" s="556"/>
      <c r="O557" s="556"/>
    </row>
    <row r="558" spans="2:15">
      <c r="C558" s="974">
        <f>IF(D545="","-",+C557+1)</f>
        <v>2020</v>
      </c>
      <c r="D558" s="506">
        <f t="shared" si="30"/>
        <v>5640893.7941176444</v>
      </c>
      <c r="E558" s="549">
        <f t="shared" si="35"/>
        <v>201460.49264705883</v>
      </c>
      <c r="F558" s="506">
        <f t="shared" si="31"/>
        <v>5439433.3014705852</v>
      </c>
      <c r="G558" s="554">
        <f t="shared" si="32"/>
        <v>1027625.1351492431</v>
      </c>
      <c r="H558" s="555">
        <f t="shared" si="33"/>
        <v>1027625.1351492431</v>
      </c>
      <c r="I558" s="552">
        <f t="shared" si="34"/>
        <v>0</v>
      </c>
      <c r="J558" s="552"/>
      <c r="K558" s="572">
        <v>1097508.1705609262</v>
      </c>
      <c r="L558" s="556"/>
      <c r="M558" s="572">
        <v>1097508.1705609262</v>
      </c>
      <c r="N558" s="556"/>
      <c r="O558" s="556"/>
    </row>
    <row r="559" spans="2:15">
      <c r="C559" s="974">
        <f>IF(D545="","-",+C558+1)</f>
        <v>2021</v>
      </c>
      <c r="D559" s="506">
        <f t="shared" si="30"/>
        <v>5439433.3014705852</v>
      </c>
      <c r="E559" s="549">
        <f t="shared" si="35"/>
        <v>201460.49264705883</v>
      </c>
      <c r="F559" s="506">
        <f t="shared" si="31"/>
        <v>5237972.8088235259</v>
      </c>
      <c r="G559" s="554">
        <f t="shared" si="32"/>
        <v>997582.78451279993</v>
      </c>
      <c r="H559" s="555">
        <f t="shared" si="33"/>
        <v>997582.78451279993</v>
      </c>
      <c r="I559" s="552">
        <f t="shared" si="34"/>
        <v>0</v>
      </c>
      <c r="J559" s="552"/>
      <c r="K559" s="572">
        <v>987531.76843630814</v>
      </c>
      <c r="L559" s="556"/>
      <c r="M559" s="572">
        <v>987531.76843630814</v>
      </c>
      <c r="N559" s="556"/>
      <c r="O559" s="556"/>
    </row>
    <row r="560" spans="2:15">
      <c r="C560" s="974">
        <f>IF(D545="","-",+C559+1)</f>
        <v>2022</v>
      </c>
      <c r="D560" s="506">
        <f t="shared" si="30"/>
        <v>5237972.8088235259</v>
      </c>
      <c r="E560" s="549">
        <f t="shared" si="35"/>
        <v>201460.49264705883</v>
      </c>
      <c r="F560" s="506">
        <f t="shared" si="31"/>
        <v>5036512.3161764666</v>
      </c>
      <c r="G560" s="554">
        <f t="shared" si="32"/>
        <v>967540.43387635669</v>
      </c>
      <c r="H560" s="555">
        <f t="shared" si="33"/>
        <v>967540.43387635669</v>
      </c>
      <c r="I560" s="552">
        <f t="shared" si="34"/>
        <v>0</v>
      </c>
      <c r="J560" s="552"/>
      <c r="K560" s="572">
        <v>983958.04121545213</v>
      </c>
      <c r="L560" s="556"/>
      <c r="M560" s="572">
        <v>983958.04121545213</v>
      </c>
      <c r="N560" s="556"/>
      <c r="O560" s="556"/>
    </row>
    <row r="561" spans="3:15">
      <c r="C561" s="974">
        <f>IF(D545="","-",+C560+1)</f>
        <v>2023</v>
      </c>
      <c r="D561" s="506">
        <f t="shared" si="30"/>
        <v>5036512.3161764666</v>
      </c>
      <c r="E561" s="549">
        <f t="shared" si="35"/>
        <v>201460.49264705883</v>
      </c>
      <c r="F561" s="506">
        <f t="shared" si="31"/>
        <v>4835051.8235294074</v>
      </c>
      <c r="G561" s="554">
        <f t="shared" si="32"/>
        <v>937498.08323991357</v>
      </c>
      <c r="H561" s="555">
        <f t="shared" si="33"/>
        <v>937498.08323991357</v>
      </c>
      <c r="I561" s="552">
        <f t="shared" si="34"/>
        <v>0</v>
      </c>
      <c r="J561" s="552"/>
      <c r="K561" s="572">
        <v>957108.55717782257</v>
      </c>
      <c r="L561" s="556"/>
      <c r="M561" s="572">
        <v>957108.55717782257</v>
      </c>
      <c r="N561" s="556"/>
      <c r="O561" s="556"/>
    </row>
    <row r="562" spans="3:15">
      <c r="C562" s="548">
        <f>IF(D545="","-",+C561+1)</f>
        <v>2024</v>
      </c>
      <c r="D562" s="506">
        <f t="shared" si="30"/>
        <v>4835051.8235294074</v>
      </c>
      <c r="E562" s="549">
        <f t="shared" si="35"/>
        <v>201460.49264705883</v>
      </c>
      <c r="F562" s="506">
        <f t="shared" si="31"/>
        <v>4633591.3308823481</v>
      </c>
      <c r="G562" s="554">
        <f t="shared" si="32"/>
        <v>907455.73260347045</v>
      </c>
      <c r="H562" s="555">
        <f t="shared" si="33"/>
        <v>907455.73260347045</v>
      </c>
      <c r="I562" s="552">
        <f t="shared" si="34"/>
        <v>0</v>
      </c>
      <c r="J562" s="552"/>
      <c r="K562" s="572">
        <v>913256.65918525076</v>
      </c>
      <c r="L562" s="556"/>
      <c r="M562" s="572">
        <v>913256.65918525076</v>
      </c>
      <c r="N562" s="556"/>
      <c r="O562" s="556"/>
    </row>
    <row r="563" spans="3:15">
      <c r="C563" s="548">
        <f>IF(D545="","-",+C562+1)</f>
        <v>2025</v>
      </c>
      <c r="D563" s="506">
        <f t="shared" si="30"/>
        <v>4633591.3308823481</v>
      </c>
      <c r="E563" s="549">
        <f t="shared" si="35"/>
        <v>201460.49264705883</v>
      </c>
      <c r="F563" s="506">
        <f t="shared" si="31"/>
        <v>4432130.8382352889</v>
      </c>
      <c r="G563" s="554">
        <f t="shared" si="32"/>
        <v>877413.38196702732</v>
      </c>
      <c r="H563" s="555">
        <f t="shared" si="33"/>
        <v>877413.38196702732</v>
      </c>
      <c r="I563" s="552">
        <f t="shared" si="34"/>
        <v>0</v>
      </c>
      <c r="J563" s="552"/>
      <c r="K563" s="572">
        <v>881371.13444602175</v>
      </c>
      <c r="L563" s="556"/>
      <c r="M563" s="572">
        <v>881371.13444602175</v>
      </c>
      <c r="N563" s="557"/>
      <c r="O563" s="556"/>
    </row>
    <row r="564" spans="3:15">
      <c r="C564" s="955">
        <f>IF(D545="","-",+C563+1)</f>
        <v>2026</v>
      </c>
      <c r="D564" s="506">
        <f t="shared" si="30"/>
        <v>4432130.8382352889</v>
      </c>
      <c r="E564" s="549">
        <f t="shared" si="35"/>
        <v>201460.49264705883</v>
      </c>
      <c r="F564" s="506">
        <f t="shared" si="31"/>
        <v>4230670.3455882296</v>
      </c>
      <c r="G564" s="554">
        <f t="shared" si="32"/>
        <v>847371.0313305842</v>
      </c>
      <c r="H564" s="555">
        <f t="shared" si="33"/>
        <v>847371.0313305842</v>
      </c>
      <c r="I564" s="552">
        <f t="shared" si="34"/>
        <v>0</v>
      </c>
      <c r="J564" s="552"/>
      <c r="K564" s="572"/>
      <c r="L564" s="556"/>
      <c r="M564" s="572"/>
      <c r="N564" s="556"/>
      <c r="O564" s="556"/>
    </row>
    <row r="565" spans="3:15">
      <c r="C565" s="548">
        <f>IF(D545="","-",+C564+1)</f>
        <v>2027</v>
      </c>
      <c r="D565" s="506">
        <f t="shared" si="30"/>
        <v>4230670.3455882296</v>
      </c>
      <c r="E565" s="549">
        <f t="shared" si="35"/>
        <v>201460.49264705883</v>
      </c>
      <c r="F565" s="506">
        <f t="shared" si="31"/>
        <v>4029209.8529411708</v>
      </c>
      <c r="G565" s="554">
        <f t="shared" si="32"/>
        <v>817328.68069414108</v>
      </c>
      <c r="H565" s="555">
        <f t="shared" si="33"/>
        <v>817328.68069414108</v>
      </c>
      <c r="I565" s="552">
        <f t="shared" si="34"/>
        <v>0</v>
      </c>
      <c r="J565" s="552"/>
      <c r="K565" s="572"/>
      <c r="L565" s="556"/>
      <c r="M565" s="572"/>
      <c r="N565" s="556"/>
      <c r="O565" s="556"/>
    </row>
    <row r="566" spans="3:15">
      <c r="C566" s="548">
        <f>IF(D545="","-",+C565+1)</f>
        <v>2028</v>
      </c>
      <c r="D566" s="506">
        <f t="shared" si="30"/>
        <v>4029209.8529411708</v>
      </c>
      <c r="E566" s="549">
        <f t="shared" si="35"/>
        <v>201460.49264705883</v>
      </c>
      <c r="F566" s="506">
        <f t="shared" si="31"/>
        <v>3827749.360294112</v>
      </c>
      <c r="G566" s="554">
        <f t="shared" si="32"/>
        <v>787286.33005769807</v>
      </c>
      <c r="H566" s="555">
        <f t="shared" si="33"/>
        <v>787286.33005769807</v>
      </c>
      <c r="I566" s="552">
        <f t="shared" si="34"/>
        <v>0</v>
      </c>
      <c r="J566" s="552"/>
      <c r="K566" s="572"/>
      <c r="L566" s="556"/>
      <c r="M566" s="572"/>
      <c r="N566" s="556"/>
      <c r="O566" s="556"/>
    </row>
    <row r="567" spans="3:15">
      <c r="C567" s="548">
        <f>IF(D545="","-",+C566+1)</f>
        <v>2029</v>
      </c>
      <c r="D567" s="506">
        <f t="shared" si="30"/>
        <v>3827749.360294112</v>
      </c>
      <c r="E567" s="549">
        <f t="shared" si="35"/>
        <v>201460.49264705883</v>
      </c>
      <c r="F567" s="506">
        <f t="shared" si="31"/>
        <v>3626288.8676470532</v>
      </c>
      <c r="G567" s="554">
        <f t="shared" si="32"/>
        <v>757243.97942125483</v>
      </c>
      <c r="H567" s="555">
        <f t="shared" si="33"/>
        <v>757243.97942125483</v>
      </c>
      <c r="I567" s="552">
        <f t="shared" si="34"/>
        <v>0</v>
      </c>
      <c r="J567" s="552"/>
      <c r="K567" s="572"/>
      <c r="L567" s="556"/>
      <c r="M567" s="572"/>
      <c r="N567" s="556"/>
      <c r="O567" s="556"/>
    </row>
    <row r="568" spans="3:15">
      <c r="C568" s="548">
        <f>IF(D545="","-",+C567+1)</f>
        <v>2030</v>
      </c>
      <c r="D568" s="506">
        <f t="shared" si="30"/>
        <v>3626288.8676470532</v>
      </c>
      <c r="E568" s="549">
        <f t="shared" si="35"/>
        <v>201460.49264705883</v>
      </c>
      <c r="F568" s="506">
        <f t="shared" si="31"/>
        <v>3424828.3749999944</v>
      </c>
      <c r="G568" s="554">
        <f t="shared" si="32"/>
        <v>727201.62878481182</v>
      </c>
      <c r="H568" s="555">
        <f t="shared" si="33"/>
        <v>727201.62878481182</v>
      </c>
      <c r="I568" s="552">
        <f t="shared" si="34"/>
        <v>0</v>
      </c>
      <c r="J568" s="552"/>
      <c r="K568" s="572"/>
      <c r="L568" s="556"/>
      <c r="M568" s="572"/>
      <c r="N568" s="556"/>
      <c r="O568" s="556"/>
    </row>
    <row r="569" spans="3:15">
      <c r="C569" s="548">
        <f>IF(D545="","-",+C568+1)</f>
        <v>2031</v>
      </c>
      <c r="D569" s="506">
        <f t="shared" si="30"/>
        <v>3424828.3749999944</v>
      </c>
      <c r="E569" s="549">
        <f t="shared" si="35"/>
        <v>201460.49264705883</v>
      </c>
      <c r="F569" s="506">
        <f t="shared" si="31"/>
        <v>3223367.8823529356</v>
      </c>
      <c r="G569" s="554">
        <f t="shared" si="32"/>
        <v>697159.2781483687</v>
      </c>
      <c r="H569" s="555">
        <f t="shared" si="33"/>
        <v>697159.2781483687</v>
      </c>
      <c r="I569" s="552">
        <f t="shared" si="34"/>
        <v>0</v>
      </c>
      <c r="J569" s="552"/>
      <c r="K569" s="572"/>
      <c r="L569" s="556"/>
      <c r="M569" s="572"/>
      <c r="N569" s="556"/>
      <c r="O569" s="556"/>
    </row>
    <row r="570" spans="3:15">
      <c r="C570" s="548">
        <f>IF(D545="","-",+C569+1)</f>
        <v>2032</v>
      </c>
      <c r="D570" s="506">
        <f t="shared" si="30"/>
        <v>3223367.8823529356</v>
      </c>
      <c r="E570" s="549">
        <f t="shared" si="35"/>
        <v>201460.49264705883</v>
      </c>
      <c r="F570" s="506">
        <f t="shared" si="31"/>
        <v>3021907.3897058768</v>
      </c>
      <c r="G570" s="554">
        <f t="shared" si="32"/>
        <v>667116.92751192569</v>
      </c>
      <c r="H570" s="555">
        <f t="shared" si="33"/>
        <v>667116.92751192569</v>
      </c>
      <c r="I570" s="552">
        <f t="shared" si="34"/>
        <v>0</v>
      </c>
      <c r="J570" s="552"/>
      <c r="K570" s="572"/>
      <c r="L570" s="556"/>
      <c r="M570" s="572"/>
      <c r="N570" s="556"/>
      <c r="O570" s="556"/>
    </row>
    <row r="571" spans="3:15">
      <c r="C571" s="548">
        <f>IF(D545="","-",+C570+1)</f>
        <v>2033</v>
      </c>
      <c r="D571" s="506">
        <f t="shared" si="30"/>
        <v>3021907.3897058768</v>
      </c>
      <c r="E571" s="549">
        <f t="shared" si="35"/>
        <v>201460.49264705883</v>
      </c>
      <c r="F571" s="506">
        <f t="shared" si="31"/>
        <v>2820446.897058818</v>
      </c>
      <c r="G571" s="554">
        <f t="shared" si="32"/>
        <v>637074.57687548257</v>
      </c>
      <c r="H571" s="555">
        <f t="shared" si="33"/>
        <v>637074.57687548257</v>
      </c>
      <c r="I571" s="552">
        <f t="shared" si="34"/>
        <v>0</v>
      </c>
      <c r="J571" s="552"/>
      <c r="K571" s="572"/>
      <c r="L571" s="556"/>
      <c r="M571" s="572"/>
      <c r="N571" s="556"/>
      <c r="O571" s="556"/>
    </row>
    <row r="572" spans="3:15">
      <c r="C572" s="548">
        <f>IF(D545="","-",+C571+1)</f>
        <v>2034</v>
      </c>
      <c r="D572" s="506">
        <f t="shared" si="30"/>
        <v>2820446.897058818</v>
      </c>
      <c r="E572" s="549">
        <f t="shared" si="35"/>
        <v>201460.49264705883</v>
      </c>
      <c r="F572" s="506">
        <f t="shared" si="31"/>
        <v>2618986.4044117592</v>
      </c>
      <c r="G572" s="554">
        <f t="shared" si="32"/>
        <v>607032.22623903956</v>
      </c>
      <c r="H572" s="555">
        <f t="shared" si="33"/>
        <v>607032.22623903956</v>
      </c>
      <c r="I572" s="552">
        <f t="shared" si="34"/>
        <v>0</v>
      </c>
      <c r="J572" s="552"/>
      <c r="K572" s="572"/>
      <c r="L572" s="556"/>
      <c r="M572" s="572"/>
      <c r="N572" s="556"/>
      <c r="O572" s="556"/>
    </row>
    <row r="573" spans="3:15">
      <c r="C573" s="548">
        <f>IF(D545="","-",+C572+1)</f>
        <v>2035</v>
      </c>
      <c r="D573" s="506">
        <f t="shared" si="30"/>
        <v>2618986.4044117592</v>
      </c>
      <c r="E573" s="549">
        <f t="shared" si="35"/>
        <v>201460.49264705883</v>
      </c>
      <c r="F573" s="506">
        <f t="shared" si="31"/>
        <v>2417525.9117647004</v>
      </c>
      <c r="G573" s="554">
        <f t="shared" si="32"/>
        <v>576989.87560259644</v>
      </c>
      <c r="H573" s="555">
        <f t="shared" si="33"/>
        <v>576989.87560259644</v>
      </c>
      <c r="I573" s="552">
        <f t="shared" si="34"/>
        <v>0</v>
      </c>
      <c r="J573" s="552"/>
      <c r="K573" s="572"/>
      <c r="L573" s="556"/>
      <c r="M573" s="572"/>
      <c r="N573" s="556"/>
      <c r="O573" s="556"/>
    </row>
    <row r="574" spans="3:15">
      <c r="C574" s="548">
        <f>IF(D545="","-",+C573+1)</f>
        <v>2036</v>
      </c>
      <c r="D574" s="506">
        <f t="shared" si="30"/>
        <v>2417525.9117647004</v>
      </c>
      <c r="E574" s="549">
        <f t="shared" si="35"/>
        <v>201460.49264705883</v>
      </c>
      <c r="F574" s="506">
        <f t="shared" si="31"/>
        <v>2216065.4191176416</v>
      </c>
      <c r="G574" s="554">
        <f t="shared" si="32"/>
        <v>546947.52496615343</v>
      </c>
      <c r="H574" s="555">
        <f t="shared" si="33"/>
        <v>546947.52496615343</v>
      </c>
      <c r="I574" s="552">
        <f t="shared" si="34"/>
        <v>0</v>
      </c>
      <c r="J574" s="552"/>
      <c r="K574" s="572"/>
      <c r="L574" s="556"/>
      <c r="M574" s="572"/>
      <c r="N574" s="556"/>
      <c r="O574" s="556"/>
    </row>
    <row r="575" spans="3:15">
      <c r="C575" s="548">
        <f>IF(D545="","-",+C574+1)</f>
        <v>2037</v>
      </c>
      <c r="D575" s="506">
        <f t="shared" si="30"/>
        <v>2216065.4191176416</v>
      </c>
      <c r="E575" s="549">
        <f t="shared" si="35"/>
        <v>201460.49264705883</v>
      </c>
      <c r="F575" s="506">
        <f t="shared" si="31"/>
        <v>2014604.9264705828</v>
      </c>
      <c r="G575" s="554">
        <f t="shared" si="32"/>
        <v>516905.17432971031</v>
      </c>
      <c r="H575" s="555">
        <f t="shared" si="33"/>
        <v>516905.17432971031</v>
      </c>
      <c r="I575" s="552">
        <f t="shared" si="34"/>
        <v>0</v>
      </c>
      <c r="J575" s="552"/>
      <c r="K575" s="572"/>
      <c r="L575" s="556"/>
      <c r="M575" s="572"/>
      <c r="N575" s="556"/>
      <c r="O575" s="556"/>
    </row>
    <row r="576" spans="3:15">
      <c r="C576" s="548">
        <f>IF(D545="","-",+C575+1)</f>
        <v>2038</v>
      </c>
      <c r="D576" s="506">
        <f t="shared" si="30"/>
        <v>2014604.9264705828</v>
      </c>
      <c r="E576" s="549">
        <f t="shared" si="35"/>
        <v>201460.49264705883</v>
      </c>
      <c r="F576" s="506">
        <f t="shared" si="31"/>
        <v>1813144.433823524</v>
      </c>
      <c r="G576" s="554">
        <f t="shared" si="32"/>
        <v>486862.8236932673</v>
      </c>
      <c r="H576" s="555">
        <f t="shared" si="33"/>
        <v>486862.8236932673</v>
      </c>
      <c r="I576" s="552">
        <f t="shared" si="34"/>
        <v>0</v>
      </c>
      <c r="J576" s="552"/>
      <c r="K576" s="572"/>
      <c r="L576" s="556"/>
      <c r="M576" s="572"/>
      <c r="N576" s="556"/>
      <c r="O576" s="556"/>
    </row>
    <row r="577" spans="3:15">
      <c r="C577" s="548">
        <f>IF(D545="","-",+C576+1)</f>
        <v>2039</v>
      </c>
      <c r="D577" s="506">
        <f t="shared" si="30"/>
        <v>1813144.433823524</v>
      </c>
      <c r="E577" s="549">
        <f t="shared" si="35"/>
        <v>201460.49264705883</v>
      </c>
      <c r="F577" s="506">
        <f t="shared" si="31"/>
        <v>1611683.9411764652</v>
      </c>
      <c r="G577" s="554">
        <f t="shared" si="32"/>
        <v>456820.47305682418</v>
      </c>
      <c r="H577" s="555">
        <f t="shared" si="33"/>
        <v>456820.47305682418</v>
      </c>
      <c r="I577" s="552">
        <f t="shared" si="34"/>
        <v>0</v>
      </c>
      <c r="J577" s="552"/>
      <c r="K577" s="572"/>
      <c r="L577" s="556"/>
      <c r="M577" s="572"/>
      <c r="N577" s="556"/>
      <c r="O577" s="556"/>
    </row>
    <row r="578" spans="3:15">
      <c r="C578" s="548">
        <f>IF(D545="","-",+C577+1)</f>
        <v>2040</v>
      </c>
      <c r="D578" s="506">
        <f t="shared" si="30"/>
        <v>1611683.9411764652</v>
      </c>
      <c r="E578" s="549">
        <f t="shared" si="35"/>
        <v>201460.49264705883</v>
      </c>
      <c r="F578" s="506">
        <f t="shared" si="31"/>
        <v>1410223.4485294065</v>
      </c>
      <c r="G578" s="554">
        <f t="shared" si="32"/>
        <v>426778.12242038111</v>
      </c>
      <c r="H578" s="555">
        <f t="shared" si="33"/>
        <v>426778.12242038111</v>
      </c>
      <c r="I578" s="552">
        <f t="shared" si="34"/>
        <v>0</v>
      </c>
      <c r="J578" s="552"/>
      <c r="K578" s="572"/>
      <c r="L578" s="556"/>
      <c r="M578" s="572"/>
      <c r="N578" s="556"/>
      <c r="O578" s="556"/>
    </row>
    <row r="579" spans="3:15">
      <c r="C579" s="548">
        <f>IF(D545="","-",+C578+1)</f>
        <v>2041</v>
      </c>
      <c r="D579" s="506">
        <f t="shared" si="30"/>
        <v>1410223.4485294065</v>
      </c>
      <c r="E579" s="549">
        <f t="shared" si="35"/>
        <v>201460.49264705883</v>
      </c>
      <c r="F579" s="506">
        <f t="shared" si="31"/>
        <v>1208762.9558823477</v>
      </c>
      <c r="G579" s="550">
        <f t="shared" si="32"/>
        <v>396735.77178393805</v>
      </c>
      <c r="H579" s="555">
        <f t="shared" si="33"/>
        <v>396735.77178393805</v>
      </c>
      <c r="I579" s="552">
        <f t="shared" si="34"/>
        <v>0</v>
      </c>
      <c r="J579" s="552"/>
      <c r="K579" s="572"/>
      <c r="L579" s="556"/>
      <c r="M579" s="572"/>
      <c r="N579" s="556"/>
      <c r="O579" s="556"/>
    </row>
    <row r="580" spans="3:15">
      <c r="C580" s="548">
        <f>IF(D545="","-",+C579+1)</f>
        <v>2042</v>
      </c>
      <c r="D580" s="506">
        <f t="shared" si="30"/>
        <v>1208762.9558823477</v>
      </c>
      <c r="E580" s="549">
        <f t="shared" si="35"/>
        <v>201460.49264705883</v>
      </c>
      <c r="F580" s="506">
        <f t="shared" si="31"/>
        <v>1007302.4632352889</v>
      </c>
      <c r="G580" s="554">
        <f t="shared" si="32"/>
        <v>366693.42114749498</v>
      </c>
      <c r="H580" s="555">
        <f t="shared" si="33"/>
        <v>366693.42114749498</v>
      </c>
      <c r="I580" s="552">
        <f t="shared" si="34"/>
        <v>0</v>
      </c>
      <c r="J580" s="552"/>
      <c r="K580" s="572"/>
      <c r="L580" s="556"/>
      <c r="M580" s="572"/>
      <c r="N580" s="556"/>
      <c r="O580" s="556"/>
    </row>
    <row r="581" spans="3:15">
      <c r="C581" s="548">
        <f>IF(D545="","-",+C580+1)</f>
        <v>2043</v>
      </c>
      <c r="D581" s="506">
        <f t="shared" si="30"/>
        <v>1007302.4632352889</v>
      </c>
      <c r="E581" s="549">
        <f t="shared" si="35"/>
        <v>201460.49264705883</v>
      </c>
      <c r="F581" s="506">
        <f t="shared" si="31"/>
        <v>805841.97058823006</v>
      </c>
      <c r="G581" s="554">
        <f t="shared" si="32"/>
        <v>336651.07051105192</v>
      </c>
      <c r="H581" s="555">
        <f t="shared" si="33"/>
        <v>336651.07051105192</v>
      </c>
      <c r="I581" s="552">
        <f t="shared" si="34"/>
        <v>0</v>
      </c>
      <c r="J581" s="552"/>
      <c r="K581" s="572"/>
      <c r="L581" s="556"/>
      <c r="M581" s="572"/>
      <c r="N581" s="556"/>
      <c r="O581" s="556"/>
    </row>
    <row r="582" spans="3:15">
      <c r="C582" s="548">
        <f>IF(D545="","-",+C581+1)</f>
        <v>2044</v>
      </c>
      <c r="D582" s="506">
        <f t="shared" si="30"/>
        <v>805841.97058823006</v>
      </c>
      <c r="E582" s="549">
        <f t="shared" si="35"/>
        <v>201460.49264705883</v>
      </c>
      <c r="F582" s="506">
        <f t="shared" si="31"/>
        <v>604381.47794117127</v>
      </c>
      <c r="G582" s="554">
        <f t="shared" si="32"/>
        <v>306608.7198746088</v>
      </c>
      <c r="H582" s="555">
        <f t="shared" si="33"/>
        <v>306608.7198746088</v>
      </c>
      <c r="I582" s="552">
        <f t="shared" si="34"/>
        <v>0</v>
      </c>
      <c r="J582" s="552"/>
      <c r="K582" s="572"/>
      <c r="L582" s="556"/>
      <c r="M582" s="572"/>
      <c r="N582" s="556"/>
      <c r="O582" s="556"/>
    </row>
    <row r="583" spans="3:15">
      <c r="C583" s="548">
        <f>IF(D545="","-",+C582+1)</f>
        <v>2045</v>
      </c>
      <c r="D583" s="506">
        <f t="shared" si="30"/>
        <v>604381.47794117127</v>
      </c>
      <c r="E583" s="549">
        <f t="shared" si="35"/>
        <v>201460.49264705883</v>
      </c>
      <c r="F583" s="506">
        <f t="shared" si="31"/>
        <v>402920.98529411247</v>
      </c>
      <c r="G583" s="554">
        <f t="shared" si="32"/>
        <v>276566.36923816573</v>
      </c>
      <c r="H583" s="555">
        <f t="shared" si="33"/>
        <v>276566.36923816573</v>
      </c>
      <c r="I583" s="552">
        <f t="shared" si="34"/>
        <v>0</v>
      </c>
      <c r="J583" s="552"/>
      <c r="K583" s="572"/>
      <c r="L583" s="556"/>
      <c r="M583" s="572"/>
      <c r="N583" s="556"/>
      <c r="O583" s="556"/>
    </row>
    <row r="584" spans="3:15">
      <c r="C584" s="548">
        <f>IF(D545="","-",+C583+1)</f>
        <v>2046</v>
      </c>
      <c r="D584" s="506">
        <f t="shared" si="30"/>
        <v>402920.98529411247</v>
      </c>
      <c r="E584" s="549">
        <f t="shared" si="35"/>
        <v>201460.49264705883</v>
      </c>
      <c r="F584" s="506">
        <f t="shared" si="31"/>
        <v>201460.49264705364</v>
      </c>
      <c r="G584" s="554">
        <f t="shared" si="32"/>
        <v>246524.01860172267</v>
      </c>
      <c r="H584" s="555">
        <f t="shared" si="33"/>
        <v>246524.01860172267</v>
      </c>
      <c r="I584" s="552">
        <f t="shared" si="34"/>
        <v>0</v>
      </c>
      <c r="J584" s="552"/>
      <c r="K584" s="572"/>
      <c r="L584" s="556"/>
      <c r="M584" s="572"/>
      <c r="N584" s="556"/>
      <c r="O584" s="556"/>
    </row>
    <row r="585" spans="3:15">
      <c r="C585" s="548">
        <f>IF(D545="","-",+C584+1)</f>
        <v>2047</v>
      </c>
      <c r="D585" s="506">
        <f t="shared" si="30"/>
        <v>201460.49264705364</v>
      </c>
      <c r="E585" s="549">
        <f t="shared" si="35"/>
        <v>201460.49264705364</v>
      </c>
      <c r="F585" s="506">
        <f t="shared" si="31"/>
        <v>0</v>
      </c>
      <c r="G585" s="554">
        <f t="shared" si="32"/>
        <v>216481.6679652748</v>
      </c>
      <c r="H585" s="555">
        <f t="shared" si="33"/>
        <v>216481.6679652748</v>
      </c>
      <c r="I585" s="552">
        <f t="shared" si="34"/>
        <v>0</v>
      </c>
      <c r="J585" s="552"/>
      <c r="K585" s="572"/>
      <c r="L585" s="556"/>
      <c r="M585" s="572"/>
      <c r="N585" s="556"/>
      <c r="O585" s="556"/>
    </row>
    <row r="586" spans="3:15">
      <c r="C586" s="548">
        <f>IF(D545="","-",+C585+1)</f>
        <v>2048</v>
      </c>
      <c r="D586" s="506">
        <f t="shared" si="30"/>
        <v>0</v>
      </c>
      <c r="E586" s="549">
        <f t="shared" si="35"/>
        <v>0</v>
      </c>
      <c r="F586" s="506">
        <f t="shared" si="31"/>
        <v>0</v>
      </c>
      <c r="G586" s="554">
        <f t="shared" si="32"/>
        <v>0</v>
      </c>
      <c r="H586" s="555">
        <f t="shared" si="33"/>
        <v>0</v>
      </c>
      <c r="I586" s="552">
        <f t="shared" si="34"/>
        <v>0</v>
      </c>
      <c r="J586" s="552"/>
      <c r="K586" s="572"/>
      <c r="L586" s="556"/>
      <c r="M586" s="572"/>
      <c r="N586" s="556"/>
      <c r="O586" s="556"/>
    </row>
    <row r="587" spans="3:15">
      <c r="C587" s="548">
        <f>IF(D545="","-",+C586+1)</f>
        <v>2049</v>
      </c>
      <c r="D587" s="506">
        <f t="shared" si="30"/>
        <v>0</v>
      </c>
      <c r="E587" s="549">
        <f t="shared" si="35"/>
        <v>0</v>
      </c>
      <c r="F587" s="506">
        <f t="shared" si="31"/>
        <v>0</v>
      </c>
      <c r="G587" s="554">
        <f t="shared" si="32"/>
        <v>0</v>
      </c>
      <c r="H587" s="555">
        <f t="shared" si="33"/>
        <v>0</v>
      </c>
      <c r="I587" s="552">
        <f t="shared" si="34"/>
        <v>0</v>
      </c>
      <c r="J587" s="552"/>
      <c r="K587" s="572"/>
      <c r="L587" s="556"/>
      <c r="M587" s="572"/>
      <c r="N587" s="556"/>
      <c r="O587" s="556"/>
    </row>
    <row r="588" spans="3:15">
      <c r="C588" s="548">
        <f>IF(D545="","-",+C587+1)</f>
        <v>2050</v>
      </c>
      <c r="D588" s="506">
        <f t="shared" si="30"/>
        <v>0</v>
      </c>
      <c r="E588" s="549">
        <f t="shared" si="35"/>
        <v>0</v>
      </c>
      <c r="F588" s="506">
        <f t="shared" si="31"/>
        <v>0</v>
      </c>
      <c r="G588" s="554">
        <f t="shared" si="32"/>
        <v>0</v>
      </c>
      <c r="H588" s="555">
        <f t="shared" si="33"/>
        <v>0</v>
      </c>
      <c r="I588" s="552">
        <f t="shared" si="34"/>
        <v>0</v>
      </c>
      <c r="J588" s="552"/>
      <c r="K588" s="572"/>
      <c r="L588" s="556"/>
      <c r="M588" s="572"/>
      <c r="N588" s="556"/>
      <c r="O588" s="556"/>
    </row>
    <row r="589" spans="3:15">
      <c r="C589" s="548">
        <f>IF(D545="","-",+C588+1)</f>
        <v>2051</v>
      </c>
      <c r="D589" s="506">
        <f t="shared" si="30"/>
        <v>0</v>
      </c>
      <c r="E589" s="549">
        <f t="shared" si="35"/>
        <v>0</v>
      </c>
      <c r="F589" s="506">
        <f t="shared" si="31"/>
        <v>0</v>
      </c>
      <c r="G589" s="554">
        <f t="shared" si="32"/>
        <v>0</v>
      </c>
      <c r="H589" s="555">
        <f t="shared" si="33"/>
        <v>0</v>
      </c>
      <c r="I589" s="552">
        <f t="shared" si="34"/>
        <v>0</v>
      </c>
      <c r="J589" s="552"/>
      <c r="K589" s="572"/>
      <c r="L589" s="556"/>
      <c r="M589" s="572"/>
      <c r="N589" s="556"/>
      <c r="O589" s="556"/>
    </row>
    <row r="590" spans="3:15">
      <c r="C590" s="548">
        <f>IF(D545="","-",+C589+1)</f>
        <v>2052</v>
      </c>
      <c r="D590" s="506">
        <f t="shared" si="30"/>
        <v>0</v>
      </c>
      <c r="E590" s="549">
        <f t="shared" si="35"/>
        <v>0</v>
      </c>
      <c r="F590" s="506">
        <f t="shared" si="31"/>
        <v>0</v>
      </c>
      <c r="G590" s="554">
        <f t="shared" si="32"/>
        <v>0</v>
      </c>
      <c r="H590" s="555">
        <f t="shared" si="33"/>
        <v>0</v>
      </c>
      <c r="I590" s="552">
        <f t="shared" si="34"/>
        <v>0</v>
      </c>
      <c r="J590" s="552"/>
      <c r="K590" s="572"/>
      <c r="L590" s="556"/>
      <c r="M590" s="572"/>
      <c r="N590" s="556"/>
      <c r="O590" s="556"/>
    </row>
    <row r="591" spans="3:15">
      <c r="C591" s="548">
        <f>IF(D545="","-",+C590+1)</f>
        <v>2053</v>
      </c>
      <c r="D591" s="506">
        <f t="shared" si="30"/>
        <v>0</v>
      </c>
      <c r="E591" s="549">
        <f t="shared" si="35"/>
        <v>0</v>
      </c>
      <c r="F591" s="506">
        <f t="shared" si="31"/>
        <v>0</v>
      </c>
      <c r="G591" s="554">
        <f t="shared" si="32"/>
        <v>0</v>
      </c>
      <c r="H591" s="555">
        <f t="shared" si="33"/>
        <v>0</v>
      </c>
      <c r="I591" s="552">
        <f t="shared" si="34"/>
        <v>0</v>
      </c>
      <c r="J591" s="552"/>
      <c r="K591" s="572"/>
      <c r="L591" s="556"/>
      <c r="M591" s="572"/>
      <c r="N591" s="556"/>
      <c r="O591" s="556"/>
    </row>
    <row r="592" spans="3:15">
      <c r="C592" s="548">
        <f>IF(D545="","-",+C591+1)</f>
        <v>2054</v>
      </c>
      <c r="D592" s="506">
        <f t="shared" si="30"/>
        <v>0</v>
      </c>
      <c r="E592" s="549">
        <f t="shared" si="35"/>
        <v>0</v>
      </c>
      <c r="F592" s="506">
        <f t="shared" si="31"/>
        <v>0</v>
      </c>
      <c r="G592" s="554">
        <f t="shared" si="32"/>
        <v>0</v>
      </c>
      <c r="H592" s="555">
        <f t="shared" si="33"/>
        <v>0</v>
      </c>
      <c r="I592" s="552">
        <f t="shared" si="34"/>
        <v>0</v>
      </c>
      <c r="J592" s="552"/>
      <c r="K592" s="572"/>
      <c r="L592" s="556"/>
      <c r="M592" s="572"/>
      <c r="N592" s="556"/>
      <c r="O592" s="556"/>
    </row>
    <row r="593" spans="3:15">
      <c r="C593" s="548">
        <f>IF(D545="","-",+C592+1)</f>
        <v>2055</v>
      </c>
      <c r="D593" s="506">
        <f t="shared" si="30"/>
        <v>0</v>
      </c>
      <c r="E593" s="549">
        <f t="shared" si="35"/>
        <v>0</v>
      </c>
      <c r="F593" s="506">
        <f t="shared" si="31"/>
        <v>0</v>
      </c>
      <c r="G593" s="554">
        <f t="shared" si="32"/>
        <v>0</v>
      </c>
      <c r="H593" s="555">
        <f t="shared" si="33"/>
        <v>0</v>
      </c>
      <c r="I593" s="552">
        <f t="shared" si="34"/>
        <v>0</v>
      </c>
      <c r="J593" s="552"/>
      <c r="K593" s="572"/>
      <c r="L593" s="556"/>
      <c r="M593" s="572"/>
      <c r="N593" s="556"/>
      <c r="O593" s="556"/>
    </row>
    <row r="594" spans="3:15">
      <c r="C594" s="548">
        <f>IF(D545="","-",+C593+1)</f>
        <v>2056</v>
      </c>
      <c r="D594" s="506">
        <f t="shared" si="30"/>
        <v>0</v>
      </c>
      <c r="E594" s="549">
        <f t="shared" si="35"/>
        <v>0</v>
      </c>
      <c r="F594" s="506">
        <f t="shared" si="31"/>
        <v>0</v>
      </c>
      <c r="G594" s="554">
        <f t="shared" si="32"/>
        <v>0</v>
      </c>
      <c r="H594" s="555">
        <f t="shared" si="33"/>
        <v>0</v>
      </c>
      <c r="I594" s="552">
        <f t="shared" si="34"/>
        <v>0</v>
      </c>
      <c r="J594" s="552"/>
      <c r="K594" s="572"/>
      <c r="L594" s="556"/>
      <c r="M594" s="572"/>
      <c r="N594" s="556"/>
      <c r="O594" s="556"/>
    </row>
    <row r="595" spans="3:15">
      <c r="C595" s="548">
        <f>IF(D545="","-",+C594+1)</f>
        <v>2057</v>
      </c>
      <c r="D595" s="506">
        <f t="shared" si="30"/>
        <v>0</v>
      </c>
      <c r="E595" s="549">
        <f t="shared" si="35"/>
        <v>0</v>
      </c>
      <c r="F595" s="506">
        <f t="shared" si="31"/>
        <v>0</v>
      </c>
      <c r="G595" s="554">
        <f t="shared" si="32"/>
        <v>0</v>
      </c>
      <c r="H595" s="555">
        <f t="shared" si="33"/>
        <v>0</v>
      </c>
      <c r="I595" s="552">
        <f t="shared" si="34"/>
        <v>0</v>
      </c>
      <c r="J595" s="552"/>
      <c r="K595" s="572"/>
      <c r="L595" s="556"/>
      <c r="M595" s="572"/>
      <c r="N595" s="556"/>
      <c r="O595" s="556"/>
    </row>
    <row r="596" spans="3:15">
      <c r="C596" s="548">
        <f>IF(D545="","-",+C595+1)</f>
        <v>2058</v>
      </c>
      <c r="D596" s="506">
        <f t="shared" si="30"/>
        <v>0</v>
      </c>
      <c r="E596" s="549">
        <f t="shared" si="35"/>
        <v>0</v>
      </c>
      <c r="F596" s="506">
        <f t="shared" si="31"/>
        <v>0</v>
      </c>
      <c r="G596" s="554">
        <f t="shared" si="32"/>
        <v>0</v>
      </c>
      <c r="H596" s="555">
        <f t="shared" si="33"/>
        <v>0</v>
      </c>
      <c r="I596" s="552">
        <f t="shared" si="34"/>
        <v>0</v>
      </c>
      <c r="J596" s="552"/>
      <c r="K596" s="572"/>
      <c r="L596" s="556"/>
      <c r="M596" s="572"/>
      <c r="N596" s="556"/>
      <c r="O596" s="556"/>
    </row>
    <row r="597" spans="3:15">
      <c r="C597" s="548">
        <f>IF(D545="","-",+C596+1)</f>
        <v>2059</v>
      </c>
      <c r="D597" s="506">
        <f t="shared" si="30"/>
        <v>0</v>
      </c>
      <c r="E597" s="549">
        <f t="shared" si="35"/>
        <v>0</v>
      </c>
      <c r="F597" s="506">
        <f t="shared" si="31"/>
        <v>0</v>
      </c>
      <c r="G597" s="554">
        <f t="shared" si="32"/>
        <v>0</v>
      </c>
      <c r="H597" s="555">
        <f t="shared" si="33"/>
        <v>0</v>
      </c>
      <c r="I597" s="552">
        <f t="shared" si="34"/>
        <v>0</v>
      </c>
      <c r="J597" s="552"/>
      <c r="K597" s="572"/>
      <c r="L597" s="556"/>
      <c r="M597" s="572"/>
      <c r="N597" s="556"/>
      <c r="O597" s="556"/>
    </row>
    <row r="598" spans="3:15">
      <c r="C598" s="548">
        <f>IF(D545="","-",+C597+1)</f>
        <v>2060</v>
      </c>
      <c r="D598" s="506">
        <f t="shared" si="30"/>
        <v>0</v>
      </c>
      <c r="E598" s="549">
        <f t="shared" si="35"/>
        <v>0</v>
      </c>
      <c r="F598" s="506">
        <f t="shared" si="31"/>
        <v>0</v>
      </c>
      <c r="G598" s="554">
        <f t="shared" si="32"/>
        <v>0</v>
      </c>
      <c r="H598" s="555">
        <f t="shared" si="33"/>
        <v>0</v>
      </c>
      <c r="I598" s="552">
        <f t="shared" si="34"/>
        <v>0</v>
      </c>
      <c r="J598" s="552"/>
      <c r="K598" s="572"/>
      <c r="L598" s="556"/>
      <c r="M598" s="572"/>
      <c r="N598" s="556"/>
      <c r="O598" s="556"/>
    </row>
    <row r="599" spans="3:15">
      <c r="C599" s="548">
        <f>IF(D545="","-",+C598+1)</f>
        <v>2061</v>
      </c>
      <c r="D599" s="506">
        <f t="shared" si="30"/>
        <v>0</v>
      </c>
      <c r="E599" s="549">
        <f t="shared" si="35"/>
        <v>0</v>
      </c>
      <c r="F599" s="506">
        <f t="shared" si="31"/>
        <v>0</v>
      </c>
      <c r="G599" s="554">
        <f t="shared" si="32"/>
        <v>0</v>
      </c>
      <c r="H599" s="555">
        <f t="shared" si="33"/>
        <v>0</v>
      </c>
      <c r="I599" s="552">
        <f t="shared" si="34"/>
        <v>0</v>
      </c>
      <c r="J599" s="552"/>
      <c r="K599" s="572"/>
      <c r="L599" s="556"/>
      <c r="M599" s="572"/>
      <c r="N599" s="556"/>
      <c r="O599" s="556"/>
    </row>
    <row r="600" spans="3:15">
      <c r="C600" s="548">
        <f>IF(D545="","-",+C599+1)</f>
        <v>2062</v>
      </c>
      <c r="D600" s="506">
        <f t="shared" si="30"/>
        <v>0</v>
      </c>
      <c r="E600" s="549">
        <f t="shared" si="35"/>
        <v>0</v>
      </c>
      <c r="F600" s="506">
        <f t="shared" si="31"/>
        <v>0</v>
      </c>
      <c r="G600" s="554">
        <f t="shared" si="32"/>
        <v>0</v>
      </c>
      <c r="H600" s="555">
        <f t="shared" si="33"/>
        <v>0</v>
      </c>
      <c r="I600" s="552">
        <f t="shared" si="34"/>
        <v>0</v>
      </c>
      <c r="J600" s="552"/>
      <c r="K600" s="572"/>
      <c r="L600" s="556"/>
      <c r="M600" s="572"/>
      <c r="N600" s="556"/>
      <c r="O600" s="556"/>
    </row>
    <row r="601" spans="3:15">
      <c r="C601" s="548">
        <f>IF(D545="","-",+C600+1)</f>
        <v>2063</v>
      </c>
      <c r="D601" s="506">
        <f t="shared" si="30"/>
        <v>0</v>
      </c>
      <c r="E601" s="549">
        <f t="shared" si="35"/>
        <v>0</v>
      </c>
      <c r="F601" s="506">
        <f t="shared" si="31"/>
        <v>0</v>
      </c>
      <c r="G601" s="554">
        <f t="shared" si="32"/>
        <v>0</v>
      </c>
      <c r="H601" s="555">
        <f t="shared" si="33"/>
        <v>0</v>
      </c>
      <c r="I601" s="552">
        <f t="shared" si="34"/>
        <v>0</v>
      </c>
      <c r="J601" s="552"/>
      <c r="K601" s="572"/>
      <c r="L601" s="556"/>
      <c r="M601" s="572"/>
      <c r="N601" s="556"/>
      <c r="O601" s="556"/>
    </row>
    <row r="602" spans="3:15">
      <c r="C602" s="548">
        <f>IF(D545="","-",+C601+1)</f>
        <v>2064</v>
      </c>
      <c r="D602" s="506">
        <f t="shared" si="30"/>
        <v>0</v>
      </c>
      <c r="E602" s="549">
        <f t="shared" si="35"/>
        <v>0</v>
      </c>
      <c r="F602" s="506">
        <f t="shared" si="31"/>
        <v>0</v>
      </c>
      <c r="G602" s="554">
        <f t="shared" si="32"/>
        <v>0</v>
      </c>
      <c r="H602" s="555">
        <f t="shared" si="33"/>
        <v>0</v>
      </c>
      <c r="I602" s="552">
        <f t="shared" si="34"/>
        <v>0</v>
      </c>
      <c r="J602" s="552"/>
      <c r="K602" s="572"/>
      <c r="L602" s="556"/>
      <c r="M602" s="572"/>
      <c r="N602" s="556"/>
      <c r="O602" s="556"/>
    </row>
    <row r="603" spans="3:15">
      <c r="C603" s="548">
        <f>IF(D545="","-",+C602+1)</f>
        <v>2065</v>
      </c>
      <c r="D603" s="506">
        <f t="shared" si="30"/>
        <v>0</v>
      </c>
      <c r="E603" s="549">
        <f t="shared" si="35"/>
        <v>0</v>
      </c>
      <c r="F603" s="506">
        <f t="shared" si="31"/>
        <v>0</v>
      </c>
      <c r="G603" s="554">
        <f t="shared" si="32"/>
        <v>0</v>
      </c>
      <c r="H603" s="555">
        <f t="shared" si="33"/>
        <v>0</v>
      </c>
      <c r="I603" s="552">
        <f t="shared" si="34"/>
        <v>0</v>
      </c>
      <c r="J603" s="552"/>
      <c r="K603" s="572"/>
      <c r="L603" s="556"/>
      <c r="M603" s="572"/>
      <c r="N603" s="556"/>
      <c r="O603" s="556"/>
    </row>
    <row r="604" spans="3:15">
      <c r="C604" s="548">
        <f>IF(D545="","-",+C603+1)</f>
        <v>2066</v>
      </c>
      <c r="D604" s="506">
        <f t="shared" si="30"/>
        <v>0</v>
      </c>
      <c r="E604" s="549">
        <f t="shared" si="35"/>
        <v>0</v>
      </c>
      <c r="F604" s="506">
        <f t="shared" si="31"/>
        <v>0</v>
      </c>
      <c r="G604" s="554">
        <f t="shared" si="32"/>
        <v>0</v>
      </c>
      <c r="H604" s="555">
        <f t="shared" si="33"/>
        <v>0</v>
      </c>
      <c r="I604" s="552">
        <f t="shared" si="34"/>
        <v>0</v>
      </c>
      <c r="J604" s="552"/>
      <c r="K604" s="572"/>
      <c r="L604" s="556"/>
      <c r="M604" s="572"/>
      <c r="N604" s="556"/>
      <c r="O604" s="556"/>
    </row>
    <row r="605" spans="3:15">
      <c r="C605" s="548">
        <f>IF(D545="","-",+C604+1)</f>
        <v>2067</v>
      </c>
      <c r="D605" s="506">
        <f t="shared" si="30"/>
        <v>0</v>
      </c>
      <c r="E605" s="549">
        <f t="shared" si="35"/>
        <v>0</v>
      </c>
      <c r="F605" s="506">
        <f t="shared" si="31"/>
        <v>0</v>
      </c>
      <c r="G605" s="554">
        <f t="shared" si="32"/>
        <v>0</v>
      </c>
      <c r="H605" s="555">
        <f t="shared" si="33"/>
        <v>0</v>
      </c>
      <c r="I605" s="552">
        <f t="shared" si="34"/>
        <v>0</v>
      </c>
      <c r="J605" s="552"/>
      <c r="K605" s="572"/>
      <c r="L605" s="556"/>
      <c r="M605" s="572"/>
      <c r="N605" s="556"/>
      <c r="O605" s="556"/>
    </row>
    <row r="606" spans="3:15">
      <c r="C606" s="548">
        <f>IF(D545="","-",+C605+1)</f>
        <v>2068</v>
      </c>
      <c r="D606" s="506">
        <f t="shared" si="30"/>
        <v>0</v>
      </c>
      <c r="E606" s="549">
        <f t="shared" si="35"/>
        <v>0</v>
      </c>
      <c r="F606" s="506">
        <f t="shared" si="31"/>
        <v>0</v>
      </c>
      <c r="G606" s="554">
        <f t="shared" si="32"/>
        <v>0</v>
      </c>
      <c r="H606" s="555">
        <f t="shared" si="33"/>
        <v>0</v>
      </c>
      <c r="I606" s="552">
        <f t="shared" si="34"/>
        <v>0</v>
      </c>
      <c r="J606" s="552"/>
      <c r="K606" s="572"/>
      <c r="L606" s="556"/>
      <c r="M606" s="572"/>
      <c r="N606" s="556"/>
      <c r="O606" s="556"/>
    </row>
    <row r="607" spans="3:15">
      <c r="C607" s="548">
        <f>IF(D545="","-",+C606+1)</f>
        <v>2069</v>
      </c>
      <c r="D607" s="506">
        <f t="shared" si="30"/>
        <v>0</v>
      </c>
      <c r="E607" s="549">
        <f t="shared" si="35"/>
        <v>0</v>
      </c>
      <c r="F607" s="506">
        <f t="shared" si="31"/>
        <v>0</v>
      </c>
      <c r="G607" s="554">
        <f t="shared" si="32"/>
        <v>0</v>
      </c>
      <c r="H607" s="555">
        <f t="shared" si="33"/>
        <v>0</v>
      </c>
      <c r="I607" s="552">
        <f t="shared" si="34"/>
        <v>0</v>
      </c>
      <c r="J607" s="552"/>
      <c r="K607" s="572"/>
      <c r="L607" s="556"/>
      <c r="M607" s="572"/>
      <c r="N607" s="556"/>
      <c r="O607" s="556"/>
    </row>
    <row r="608" spans="3:15">
      <c r="C608" s="548">
        <f>IF(D545="","-",+C607+1)</f>
        <v>2070</v>
      </c>
      <c r="D608" s="506">
        <f t="shared" si="30"/>
        <v>0</v>
      </c>
      <c r="E608" s="549">
        <f t="shared" si="35"/>
        <v>0</v>
      </c>
      <c r="F608" s="506">
        <f t="shared" si="31"/>
        <v>0</v>
      </c>
      <c r="G608" s="554">
        <f t="shared" si="32"/>
        <v>0</v>
      </c>
      <c r="H608" s="555">
        <f t="shared" si="33"/>
        <v>0</v>
      </c>
      <c r="I608" s="552">
        <f t="shared" si="34"/>
        <v>0</v>
      </c>
      <c r="J608" s="552"/>
      <c r="K608" s="572"/>
      <c r="L608" s="556"/>
      <c r="M608" s="572"/>
      <c r="N608" s="556"/>
      <c r="O608" s="556"/>
    </row>
    <row r="609" spans="1:16">
      <c r="C609" s="548">
        <f>IF(D545="","-",+C608+1)</f>
        <v>2071</v>
      </c>
      <c r="D609" s="506">
        <f t="shared" si="30"/>
        <v>0</v>
      </c>
      <c r="E609" s="549">
        <f t="shared" si="35"/>
        <v>0</v>
      </c>
      <c r="F609" s="506">
        <f t="shared" si="31"/>
        <v>0</v>
      </c>
      <c r="G609" s="554">
        <f t="shared" si="32"/>
        <v>0</v>
      </c>
      <c r="H609" s="555">
        <f t="shared" si="33"/>
        <v>0</v>
      </c>
      <c r="I609" s="552">
        <f t="shared" si="34"/>
        <v>0</v>
      </c>
      <c r="J609" s="552"/>
      <c r="K609" s="572"/>
      <c r="L609" s="556"/>
      <c r="M609" s="572"/>
      <c r="N609" s="556"/>
      <c r="O609" s="556"/>
    </row>
    <row r="610" spans="1:16" ht="13.5" thickBot="1">
      <c r="C610" s="558">
        <f>IF(D545="","-",+C609+1)</f>
        <v>2072</v>
      </c>
      <c r="D610" s="559">
        <f t="shared" si="30"/>
        <v>0</v>
      </c>
      <c r="E610" s="560">
        <f t="shared" si="35"/>
        <v>0</v>
      </c>
      <c r="F610" s="559">
        <f t="shared" si="31"/>
        <v>0</v>
      </c>
      <c r="G610" s="561">
        <f t="shared" si="32"/>
        <v>0</v>
      </c>
      <c r="H610" s="561">
        <f t="shared" si="33"/>
        <v>0</v>
      </c>
      <c r="I610" s="562">
        <f t="shared" si="34"/>
        <v>0</v>
      </c>
      <c r="J610" s="552"/>
      <c r="K610" s="573"/>
      <c r="L610" s="563"/>
      <c r="M610" s="573"/>
      <c r="N610" s="563"/>
      <c r="O610" s="563"/>
    </row>
    <row r="611" spans="1:16">
      <c r="C611" s="506" t="s">
        <v>83</v>
      </c>
      <c r="D611" s="503"/>
      <c r="E611" s="503">
        <f>SUM(E551:E610)</f>
        <v>6849656.75</v>
      </c>
      <c r="F611" s="503"/>
      <c r="G611" s="503">
        <f>SUM(G551:G610)</f>
        <v>25235575.339503128</v>
      </c>
      <c r="H611" s="503">
        <f>SUM(H551:H610)</f>
        <v>25235575.339503128</v>
      </c>
      <c r="I611" s="503">
        <f>SUM(I551:I610)</f>
        <v>0</v>
      </c>
      <c r="J611" s="503"/>
      <c r="K611" s="503"/>
      <c r="L611" s="503"/>
      <c r="M611" s="503"/>
      <c r="N611" s="503"/>
      <c r="O611" s="3"/>
    </row>
    <row r="612" spans="1:16">
      <c r="D612" s="47"/>
      <c r="E612" s="3"/>
      <c r="F612" s="3"/>
      <c r="G612" s="3"/>
      <c r="H612" s="490"/>
      <c r="I612" s="490"/>
      <c r="J612" s="503"/>
      <c r="K612" s="490"/>
      <c r="L612" s="490"/>
      <c r="M612" s="490"/>
      <c r="N612" s="490"/>
      <c r="O612" s="3"/>
    </row>
    <row r="613" spans="1:16">
      <c r="C613" s="3" t="s">
        <v>13</v>
      </c>
      <c r="D613" s="47"/>
      <c r="E613" s="3"/>
      <c r="F613" s="3"/>
      <c r="G613" s="3"/>
      <c r="H613" s="490"/>
      <c r="I613" s="490"/>
      <c r="J613" s="503"/>
      <c r="K613" s="490"/>
      <c r="L613" s="490"/>
      <c r="M613" s="490"/>
      <c r="N613" s="490"/>
      <c r="O613" s="3"/>
    </row>
    <row r="614" spans="1:16">
      <c r="C614" s="3"/>
      <c r="D614" s="47"/>
      <c r="E614" s="3"/>
      <c r="F614" s="3"/>
      <c r="G614" s="3"/>
      <c r="H614" s="490"/>
      <c r="I614" s="490"/>
      <c r="J614" s="503"/>
      <c r="K614" s="490"/>
      <c r="L614" s="490"/>
      <c r="M614" s="490"/>
      <c r="N614" s="490"/>
      <c r="O614" s="3"/>
    </row>
    <row r="615" spans="1:16">
      <c r="C615" s="518" t="s">
        <v>14</v>
      </c>
      <c r="D615" s="506"/>
      <c r="E615" s="506"/>
      <c r="F615" s="506"/>
      <c r="G615" s="503"/>
      <c r="H615" s="503"/>
      <c r="I615" s="564"/>
      <c r="J615" s="564"/>
      <c r="K615" s="564"/>
      <c r="L615" s="564"/>
      <c r="M615" s="564"/>
      <c r="N615" s="564"/>
      <c r="O615" s="3"/>
    </row>
    <row r="616" spans="1:16">
      <c r="C616" s="507" t="s">
        <v>263</v>
      </c>
      <c r="D616" s="506"/>
      <c r="E616" s="506"/>
      <c r="F616" s="506"/>
      <c r="G616" s="503"/>
      <c r="H616" s="503"/>
      <c r="I616" s="564"/>
      <c r="J616" s="564"/>
      <c r="K616" s="564"/>
      <c r="L616" s="564"/>
      <c r="M616" s="564"/>
      <c r="N616" s="564"/>
      <c r="O616" s="3"/>
    </row>
    <row r="617" spans="1:16">
      <c r="C617" s="507" t="s">
        <v>84</v>
      </c>
      <c r="D617" s="506"/>
      <c r="E617" s="506"/>
      <c r="F617" s="506"/>
      <c r="G617" s="503"/>
      <c r="H617" s="503"/>
      <c r="I617" s="564"/>
      <c r="J617" s="564"/>
      <c r="K617" s="564"/>
      <c r="L617" s="564"/>
      <c r="M617" s="564"/>
      <c r="N617" s="564"/>
      <c r="O617" s="3"/>
    </row>
    <row r="618" spans="1:16">
      <c r="C618" s="507"/>
      <c r="D618" s="506"/>
      <c r="E618" s="506"/>
      <c r="F618" s="506"/>
      <c r="G618" s="503"/>
      <c r="H618" s="503"/>
      <c r="I618" s="564"/>
      <c r="J618" s="564"/>
      <c r="K618" s="564"/>
      <c r="L618" s="564"/>
      <c r="M618" s="564"/>
      <c r="N618" s="564"/>
      <c r="O618" s="3"/>
    </row>
    <row r="619" spans="1:16">
      <c r="C619" s="1200" t="s">
        <v>6</v>
      </c>
      <c r="D619" s="1200"/>
      <c r="E619" s="1200"/>
      <c r="F619" s="1200"/>
      <c r="G619" s="1200"/>
      <c r="H619" s="1200"/>
      <c r="I619" s="1200"/>
      <c r="J619" s="1200"/>
      <c r="K619" s="1200"/>
      <c r="L619" s="1200"/>
      <c r="M619" s="1200"/>
      <c r="N619" s="1200"/>
      <c r="O619" s="1200"/>
    </row>
    <row r="620" spans="1:16">
      <c r="C620" s="1200"/>
      <c r="D620" s="1200"/>
      <c r="E620" s="1200"/>
      <c r="F620" s="1200"/>
      <c r="G620" s="1200"/>
      <c r="H620" s="1200"/>
      <c r="I620" s="1200"/>
      <c r="J620" s="1200"/>
      <c r="K620" s="1200"/>
      <c r="L620" s="1200"/>
      <c r="M620" s="1200"/>
      <c r="N620" s="1200"/>
      <c r="O620" s="1200"/>
    </row>
    <row r="621" spans="1:16">
      <c r="C621" s="507"/>
      <c r="D621" s="506"/>
      <c r="E621" s="506"/>
      <c r="F621" s="506"/>
      <c r="G621" s="503"/>
      <c r="H621" s="503"/>
    </row>
    <row r="622" spans="1:16" ht="20.25">
      <c r="A622" s="447" t="str">
        <f>""&amp;A546&amp;" Worksheet J -  ATRR PROJECTED Calculation for PJM Projects Charged to Benefiting Zones"</f>
        <v xml:space="preserve"> Worksheet J -  ATRR PROJECTED Calculation for PJM Projects Charged to Benefiting Zones</v>
      </c>
      <c r="B622" s="3"/>
      <c r="C622" s="3"/>
      <c r="D622" s="47"/>
      <c r="E622" s="3"/>
      <c r="F622" s="489"/>
      <c r="G622" s="3"/>
      <c r="H622" s="490"/>
      <c r="K622" s="398"/>
      <c r="L622" s="398"/>
      <c r="M622" s="398"/>
      <c r="N622" s="398" t="str">
        <f>"Page "&amp;SUM(P$8:P622)&amp;" of "</f>
        <v xml:space="preserve">Page 8 of </v>
      </c>
      <c r="O622" s="448">
        <f>COUNT(P$8:P$56653)</f>
        <v>23</v>
      </c>
      <c r="P622">
        <v>1</v>
      </c>
    </row>
    <row r="623" spans="1:16">
      <c r="B623" s="3"/>
      <c r="C623" s="3"/>
      <c r="D623" s="47"/>
      <c r="E623" s="3"/>
      <c r="F623" s="3"/>
      <c r="G623" s="3"/>
      <c r="H623" s="490"/>
      <c r="I623" s="3"/>
      <c r="J623" s="3"/>
      <c r="K623" s="3"/>
      <c r="L623" s="3"/>
      <c r="M623" s="3"/>
      <c r="N623" s="3"/>
      <c r="O623" s="3"/>
    </row>
    <row r="624" spans="1:16" ht="18">
      <c r="B624" s="449" t="s">
        <v>464</v>
      </c>
      <c r="C624" s="122" t="s">
        <v>85</v>
      </c>
      <c r="D624" s="47"/>
      <c r="E624" s="3"/>
      <c r="F624" s="3"/>
      <c r="G624" s="3"/>
      <c r="H624" s="490"/>
      <c r="I624" s="490"/>
      <c r="J624" s="503"/>
      <c r="K624" s="490"/>
      <c r="L624" s="490"/>
      <c r="M624" s="490"/>
      <c r="N624" s="490"/>
      <c r="O624" s="3"/>
    </row>
    <row r="625" spans="2:15" ht="18.75">
      <c r="B625" s="449"/>
      <c r="C625" s="6"/>
      <c r="D625" s="47"/>
      <c r="E625" s="3"/>
      <c r="F625" s="3"/>
      <c r="G625" s="3"/>
      <c r="H625" s="490"/>
      <c r="I625" s="490"/>
      <c r="J625" s="503"/>
      <c r="K625" s="490"/>
      <c r="L625" s="490"/>
      <c r="M625" s="490"/>
      <c r="N625" s="490"/>
      <c r="O625" s="3"/>
    </row>
    <row r="626" spans="2:15" ht="18.75">
      <c r="B626" s="449"/>
      <c r="C626" s="6" t="s">
        <v>86</v>
      </c>
      <c r="D626" s="47"/>
      <c r="E626" s="3"/>
      <c r="F626" s="3"/>
      <c r="G626" s="3"/>
      <c r="H626" s="490"/>
      <c r="I626" s="490"/>
      <c r="J626" s="503"/>
      <c r="K626" s="490"/>
      <c r="L626" s="490"/>
      <c r="M626" s="490"/>
      <c r="N626" s="490"/>
      <c r="O626" s="3"/>
    </row>
    <row r="627" spans="2:15" ht="15.75" thickBot="1">
      <c r="C627" s="131"/>
      <c r="D627" s="47"/>
      <c r="E627" s="3"/>
      <c r="F627" s="3"/>
      <c r="G627" s="3"/>
      <c r="H627" s="490"/>
      <c r="I627" s="490"/>
      <c r="J627" s="503"/>
      <c r="K627" s="490"/>
      <c r="L627" s="490"/>
      <c r="M627" s="490"/>
      <c r="N627" s="490"/>
      <c r="O627" s="3"/>
    </row>
    <row r="628" spans="2:15" ht="15.75">
      <c r="C628" s="451" t="s">
        <v>87</v>
      </c>
      <c r="D628" s="47"/>
      <c r="E628" s="3"/>
      <c r="F628" s="3"/>
      <c r="G628" s="566"/>
      <c r="H628" s="3" t="s">
        <v>66</v>
      </c>
      <c r="I628" s="3"/>
      <c r="J628" s="3"/>
      <c r="K628" s="509" t="s">
        <v>91</v>
      </c>
      <c r="L628" s="510"/>
      <c r="M628" s="511"/>
      <c r="N628" s="512">
        <f>IF(I634=0,0,VLOOKUP(I634,C641:O700,5))</f>
        <v>2858851.0485013295</v>
      </c>
      <c r="O628" s="3"/>
    </row>
    <row r="629" spans="2:15" ht="15.75">
      <c r="C629" s="451"/>
      <c r="D629" s="47"/>
      <c r="E629" s="3"/>
      <c r="F629" s="3"/>
      <c r="G629" s="3"/>
      <c r="H629" s="513"/>
      <c r="I629" s="513"/>
      <c r="J629" s="514"/>
      <c r="K629" s="515" t="s">
        <v>92</v>
      </c>
      <c r="L629" s="516"/>
      <c r="M629" s="3"/>
      <c r="N629" s="517">
        <f>IF(I634=0,0,VLOOKUP(I634,C641:O700,6))</f>
        <v>2858851.0485013295</v>
      </c>
      <c r="O629" s="3"/>
    </row>
    <row r="630" spans="2:15" ht="13.5" customHeight="1" thickBot="1">
      <c r="C630" s="518" t="s">
        <v>88</v>
      </c>
      <c r="D630" s="1194" t="s">
        <v>808</v>
      </c>
      <c r="E630" s="1194"/>
      <c r="F630" s="1194"/>
      <c r="G630" s="1194"/>
      <c r="H630" s="1194"/>
      <c r="I630" s="1194"/>
      <c r="J630" s="503"/>
      <c r="K630" s="519" t="s">
        <v>230</v>
      </c>
      <c r="L630" s="520"/>
      <c r="M630" s="520"/>
      <c r="N630" s="521">
        <f>+N629-N628</f>
        <v>0</v>
      </c>
      <c r="O630" s="3"/>
    </row>
    <row r="631" spans="2:15">
      <c r="C631" s="522"/>
      <c r="D631" s="1194"/>
      <c r="E631" s="1194"/>
      <c r="F631" s="1194"/>
      <c r="G631" s="1194"/>
      <c r="H631" s="1194"/>
      <c r="I631" s="1194"/>
      <c r="J631" s="503"/>
      <c r="K631" s="490"/>
      <c r="L631" s="490"/>
      <c r="M631" s="490"/>
      <c r="N631" s="490"/>
      <c r="O631" s="3"/>
    </row>
    <row r="632" spans="2:15" ht="13.5" thickBot="1">
      <c r="C632" s="522"/>
      <c r="D632" s="3"/>
      <c r="E632" s="524"/>
      <c r="F632" s="524"/>
      <c r="G632" s="524"/>
      <c r="H632" s="524"/>
      <c r="I632" s="524"/>
      <c r="J632" s="524"/>
      <c r="K632" s="524"/>
      <c r="L632" s="524"/>
      <c r="M632" s="524"/>
      <c r="N632" s="524"/>
      <c r="O632" s="3"/>
    </row>
    <row r="633" spans="2:15" ht="13.5" thickBot="1">
      <c r="C633" s="525" t="s">
        <v>89</v>
      </c>
      <c r="D633" s="526"/>
      <c r="E633" s="526"/>
      <c r="F633" s="526"/>
      <c r="G633" s="526"/>
      <c r="H633" s="526"/>
      <c r="I633" s="527"/>
      <c r="K633" s="3"/>
      <c r="L633" s="3"/>
      <c r="M633" s="3"/>
      <c r="N633" s="3"/>
      <c r="O633" s="3"/>
    </row>
    <row r="634" spans="2:15" ht="15">
      <c r="C634" s="528" t="s">
        <v>67</v>
      </c>
      <c r="D634" s="568">
        <v>21942391.43</v>
      </c>
      <c r="E634" s="3" t="s">
        <v>68</v>
      </c>
      <c r="G634" s="47"/>
      <c r="H634" s="47"/>
      <c r="I634" s="529">
        <f>$L$26</f>
        <v>2026</v>
      </c>
      <c r="J634" s="70"/>
      <c r="K634" s="1193" t="s">
        <v>239</v>
      </c>
      <c r="L634" s="1193"/>
      <c r="M634" s="1193"/>
      <c r="N634" s="1193"/>
      <c r="O634" s="1193"/>
    </row>
    <row r="635" spans="2:15">
      <c r="C635" s="528" t="s">
        <v>70</v>
      </c>
      <c r="D635" s="569">
        <v>2015</v>
      </c>
      <c r="E635" s="528" t="s">
        <v>71</v>
      </c>
      <c r="F635" s="47"/>
      <c r="H635"/>
      <c r="I635" s="570">
        <f>IF(G628="",0,$F$17)</f>
        <v>0</v>
      </c>
      <c r="J635" s="530"/>
      <c r="K635" s="503" t="s">
        <v>239</v>
      </c>
    </row>
    <row r="636" spans="2:15">
      <c r="C636" s="528" t="s">
        <v>72</v>
      </c>
      <c r="D636" s="568">
        <v>6</v>
      </c>
      <c r="E636" s="528" t="s">
        <v>73</v>
      </c>
      <c r="F636" s="47"/>
      <c r="H636"/>
      <c r="I636" s="531">
        <f>$G$70</f>
        <v>0.14912278949438812</v>
      </c>
      <c r="J636" s="489"/>
      <c r="K636" t="str">
        <f>"          INPUT PROJECTED ARR (WITH &amp; WITHOUT INCENTIVES) FROM EACH PRIOR YEAR"</f>
        <v xml:space="preserve">          INPUT PROJECTED ARR (WITH &amp; WITHOUT INCENTIVES) FROM EACH PRIOR YEAR</v>
      </c>
    </row>
    <row r="637" spans="2:15">
      <c r="C637" s="528" t="s">
        <v>74</v>
      </c>
      <c r="D637" s="532">
        <f>$G$79</f>
        <v>34</v>
      </c>
      <c r="E637" s="528" t="s">
        <v>75</v>
      </c>
      <c r="F637" s="47"/>
      <c r="H637"/>
      <c r="I637" s="531">
        <f>IF(G628="",I636,$G$69)</f>
        <v>0.14912278949438812</v>
      </c>
      <c r="J637" s="489"/>
      <c r="K637" t="s">
        <v>152</v>
      </c>
    </row>
    <row r="638" spans="2:15" ht="13.5" thickBot="1">
      <c r="C638" s="528" t="s">
        <v>76</v>
      </c>
      <c r="D638" s="567" t="s">
        <v>802</v>
      </c>
      <c r="E638" s="533" t="s">
        <v>77</v>
      </c>
      <c r="F638" s="534"/>
      <c r="G638" s="535"/>
      <c r="H638" s="535"/>
      <c r="I638" s="521">
        <f>IF(D634=0,0,D634/D637)</f>
        <v>645364.45382352942</v>
      </c>
      <c r="J638" s="503"/>
      <c r="K638" s="503" t="s">
        <v>158</v>
      </c>
      <c r="L638" s="503"/>
      <c r="M638" s="503"/>
      <c r="N638" s="503"/>
      <c r="O638" s="3"/>
    </row>
    <row r="639" spans="2:15" ht="38.25">
      <c r="B639" s="450"/>
      <c r="C639" s="536" t="s">
        <v>67</v>
      </c>
      <c r="D639" s="537" t="s">
        <v>78</v>
      </c>
      <c r="E639" s="538" t="s">
        <v>79</v>
      </c>
      <c r="F639" s="537" t="s">
        <v>80</v>
      </c>
      <c r="G639" s="538" t="s">
        <v>151</v>
      </c>
      <c r="H639" s="539" t="s">
        <v>151</v>
      </c>
      <c r="I639" s="536" t="s">
        <v>90</v>
      </c>
      <c r="J639" s="540"/>
      <c r="K639" s="538" t="s">
        <v>160</v>
      </c>
      <c r="L639" s="541"/>
      <c r="M639" s="538" t="s">
        <v>160</v>
      </c>
      <c r="N639" s="541"/>
      <c r="O639" s="541"/>
    </row>
    <row r="640" spans="2:15" ht="13.5" thickBot="1">
      <c r="C640" s="542" t="s">
        <v>467</v>
      </c>
      <c r="D640" s="543" t="s">
        <v>468</v>
      </c>
      <c r="E640" s="542" t="s">
        <v>361</v>
      </c>
      <c r="F640" s="543" t="s">
        <v>468</v>
      </c>
      <c r="G640" s="544" t="s">
        <v>93</v>
      </c>
      <c r="H640" s="545" t="s">
        <v>95</v>
      </c>
      <c r="I640" s="542" t="s">
        <v>15</v>
      </c>
      <c r="J640" s="546"/>
      <c r="K640" s="544" t="s">
        <v>82</v>
      </c>
      <c r="L640" s="547"/>
      <c r="M640" s="544" t="s">
        <v>95</v>
      </c>
      <c r="N640" s="547"/>
      <c r="O640" s="547"/>
    </row>
    <row r="641" spans="3:15">
      <c r="C641" s="548">
        <f>IF(D635= "","-",D635)</f>
        <v>2015</v>
      </c>
      <c r="D641" s="506">
        <f>+D634</f>
        <v>21942391.43</v>
      </c>
      <c r="E641" s="549">
        <f>+I638/12*(12-D636)</f>
        <v>322682.22691176471</v>
      </c>
      <c r="F641" s="506">
        <f>+D641-E641</f>
        <v>21619709.203088235</v>
      </c>
      <c r="G641" s="723">
        <f>+$I$96*((D641+F641)/2)+E641</f>
        <v>3570733.2082324484</v>
      </c>
      <c r="H641" s="724">
        <f>$I$97*((D641+F641)/2)+E641</f>
        <v>3570733.2082324484</v>
      </c>
      <c r="I641" s="552">
        <f>+H641-G641</f>
        <v>0</v>
      </c>
      <c r="J641" s="552"/>
      <c r="K641" s="571">
        <v>962431</v>
      </c>
      <c r="L641" s="553"/>
      <c r="M641" s="571">
        <v>962431</v>
      </c>
      <c r="N641" s="553"/>
      <c r="O641" s="553"/>
    </row>
    <row r="642" spans="3:15">
      <c r="C642" s="548">
        <f>IF(D635="","-",+C641+1)</f>
        <v>2016</v>
      </c>
      <c r="D642" s="506">
        <f t="shared" ref="D642:D700" si="36">F641</f>
        <v>21619709.203088235</v>
      </c>
      <c r="E642" s="549">
        <f>IF(D642&gt;$I$638,$I$638,D642)</f>
        <v>645364.45382352942</v>
      </c>
      <c r="F642" s="506">
        <f t="shared" ref="F642:F700" si="37">+D642-E642</f>
        <v>20974344.749264706</v>
      </c>
      <c r="G642" s="554">
        <f t="shared" ref="G642:G700" si="38">+$I$96*((D642+F642)/2)+E642</f>
        <v>3821236.5244481983</v>
      </c>
      <c r="H642" s="555">
        <f t="shared" ref="H642:H700" si="39">$I$97*((D642+F642)/2)+E642</f>
        <v>3821236.5244481983</v>
      </c>
      <c r="I642" s="552">
        <f t="shared" ref="I642:I700" si="40">+H642-G642</f>
        <v>0</v>
      </c>
      <c r="J642" s="552"/>
      <c r="K642" s="572">
        <v>7321581</v>
      </c>
      <c r="L642" s="556"/>
      <c r="M642" s="572">
        <v>7321581</v>
      </c>
      <c r="N642" s="556"/>
      <c r="O642" s="556"/>
    </row>
    <row r="643" spans="3:15">
      <c r="C643" s="548">
        <f>IF(D635="","-",+C642+1)</f>
        <v>2017</v>
      </c>
      <c r="D643" s="506">
        <f t="shared" si="36"/>
        <v>20974344.749264706</v>
      </c>
      <c r="E643" s="549">
        <f t="shared" ref="E643:E700" si="41">IF(D643&gt;$I$638,$I$638,D643)</f>
        <v>645364.45382352942</v>
      </c>
      <c r="F643" s="506">
        <f t="shared" si="37"/>
        <v>20328980.295441177</v>
      </c>
      <c r="G643" s="554">
        <f t="shared" si="38"/>
        <v>3724997.9768535113</v>
      </c>
      <c r="H643" s="555">
        <f t="shared" si="39"/>
        <v>3724997.9768535113</v>
      </c>
      <c r="I643" s="552">
        <f t="shared" si="40"/>
        <v>0</v>
      </c>
      <c r="J643" s="552"/>
      <c r="K643" s="572">
        <v>4892362</v>
      </c>
      <c r="L643" s="556"/>
      <c r="M643" s="572">
        <v>4892362</v>
      </c>
      <c r="N643" s="556"/>
      <c r="O643" s="556"/>
    </row>
    <row r="644" spans="3:15">
      <c r="C644" s="974">
        <f>IF(D635="","-",+C643+1)</f>
        <v>2018</v>
      </c>
      <c r="D644" s="506">
        <f t="shared" si="36"/>
        <v>20328980.295441177</v>
      </c>
      <c r="E644" s="549">
        <f t="shared" si="41"/>
        <v>645364.45382352942</v>
      </c>
      <c r="F644" s="506">
        <f t="shared" si="37"/>
        <v>19683615.841617648</v>
      </c>
      <c r="G644" s="554">
        <f t="shared" si="38"/>
        <v>3628759.4292588243</v>
      </c>
      <c r="H644" s="555">
        <f t="shared" si="39"/>
        <v>3628759.4292588243</v>
      </c>
      <c r="I644" s="552">
        <f t="shared" si="40"/>
        <v>0</v>
      </c>
      <c r="J644" s="552"/>
      <c r="K644" s="572">
        <v>3315908</v>
      </c>
      <c r="L644" s="556"/>
      <c r="M644" s="572">
        <v>3315908</v>
      </c>
      <c r="N644" s="556"/>
      <c r="O644" s="556"/>
    </row>
    <row r="645" spans="3:15">
      <c r="C645" s="974">
        <f>IF(D635="","-",+C644+1)</f>
        <v>2019</v>
      </c>
      <c r="D645" s="506">
        <f t="shared" si="36"/>
        <v>19683615.841617648</v>
      </c>
      <c r="E645" s="549">
        <f t="shared" si="41"/>
        <v>645364.45382352942</v>
      </c>
      <c r="F645" s="506">
        <f t="shared" si="37"/>
        <v>19038251.387794118</v>
      </c>
      <c r="G645" s="554">
        <f t="shared" si="38"/>
        <v>3532520.8816641374</v>
      </c>
      <c r="H645" s="555">
        <f t="shared" si="39"/>
        <v>3532520.8816641374</v>
      </c>
      <c r="I645" s="552">
        <f t="shared" si="40"/>
        <v>0</v>
      </c>
      <c r="J645" s="552"/>
      <c r="K645" s="572">
        <v>1878387.8702616687</v>
      </c>
      <c r="L645" s="556"/>
      <c r="M645" s="572">
        <v>1878387.8702616687</v>
      </c>
      <c r="N645" s="556"/>
      <c r="O645" s="556"/>
    </row>
    <row r="646" spans="3:15">
      <c r="C646" s="974">
        <f>IF(D635="","-",+C645+1)</f>
        <v>2020</v>
      </c>
      <c r="D646" s="506">
        <f t="shared" si="36"/>
        <v>19038251.387794118</v>
      </c>
      <c r="E646" s="549">
        <f t="shared" si="41"/>
        <v>645364.45382352942</v>
      </c>
      <c r="F646" s="506">
        <f t="shared" si="37"/>
        <v>18392886.933970589</v>
      </c>
      <c r="G646" s="554">
        <f t="shared" si="38"/>
        <v>3436282.3340694504</v>
      </c>
      <c r="H646" s="555">
        <f t="shared" si="39"/>
        <v>3436282.3340694504</v>
      </c>
      <c r="I646" s="552">
        <f t="shared" si="40"/>
        <v>0</v>
      </c>
      <c r="J646" s="552"/>
      <c r="K646" s="572">
        <v>1943866.2447975688</v>
      </c>
      <c r="L646" s="556"/>
      <c r="M646" s="572">
        <v>1943866.2447975688</v>
      </c>
      <c r="N646" s="556"/>
      <c r="O646" s="556"/>
    </row>
    <row r="647" spans="3:15">
      <c r="C647" s="974">
        <f>IF(D635="","-",+C646+1)</f>
        <v>2021</v>
      </c>
      <c r="D647" s="506">
        <f t="shared" si="36"/>
        <v>18392886.933970589</v>
      </c>
      <c r="E647" s="549">
        <f t="shared" si="41"/>
        <v>645364.45382352942</v>
      </c>
      <c r="F647" s="506">
        <f t="shared" si="37"/>
        <v>17747522.48014706</v>
      </c>
      <c r="G647" s="554">
        <f t="shared" si="38"/>
        <v>3340043.7864747634</v>
      </c>
      <c r="H647" s="555">
        <f t="shared" si="39"/>
        <v>3340043.7864747634</v>
      </c>
      <c r="I647" s="552">
        <f t="shared" si="40"/>
        <v>0</v>
      </c>
      <c r="J647" s="552"/>
      <c r="K647" s="572">
        <v>3307154.0286458884</v>
      </c>
      <c r="L647" s="556"/>
      <c r="M647" s="572">
        <v>3307154.0286458884</v>
      </c>
      <c r="N647" s="556"/>
      <c r="O647" s="556"/>
    </row>
    <row r="648" spans="3:15">
      <c r="C648" s="974">
        <f>IF(D635="","-",+C647+1)</f>
        <v>2022</v>
      </c>
      <c r="D648" s="506">
        <f t="shared" si="36"/>
        <v>17747522.48014706</v>
      </c>
      <c r="E648" s="549">
        <f t="shared" si="41"/>
        <v>645364.45382352942</v>
      </c>
      <c r="F648" s="506">
        <f t="shared" si="37"/>
        <v>17102158.026323531</v>
      </c>
      <c r="G648" s="554">
        <f t="shared" si="38"/>
        <v>3243805.2388800774</v>
      </c>
      <c r="H648" s="555">
        <f t="shared" si="39"/>
        <v>3243805.2388800774</v>
      </c>
      <c r="I648" s="552">
        <f t="shared" si="40"/>
        <v>0</v>
      </c>
      <c r="J648" s="552"/>
      <c r="K648" s="572">
        <v>3290723.4729367909</v>
      </c>
      <c r="L648" s="556"/>
      <c r="M648" s="572">
        <v>3290723.4729367909</v>
      </c>
      <c r="N648" s="556"/>
      <c r="O648" s="556"/>
    </row>
    <row r="649" spans="3:15">
      <c r="C649" s="974">
        <f>IF(D635="","-",+C648+1)</f>
        <v>2023</v>
      </c>
      <c r="D649" s="506">
        <f t="shared" si="36"/>
        <v>17102158.026323531</v>
      </c>
      <c r="E649" s="549">
        <f t="shared" si="41"/>
        <v>645364.45382352942</v>
      </c>
      <c r="F649" s="506">
        <f t="shared" si="37"/>
        <v>16456793.572500002</v>
      </c>
      <c r="G649" s="554">
        <f t="shared" si="38"/>
        <v>3147566.6912853904</v>
      </c>
      <c r="H649" s="555">
        <f t="shared" si="39"/>
        <v>3147566.6912853904</v>
      </c>
      <c r="I649" s="552">
        <f t="shared" si="40"/>
        <v>0</v>
      </c>
      <c r="J649" s="552"/>
      <c r="K649" s="572">
        <v>3210068.8806937789</v>
      </c>
      <c r="L649" s="556"/>
      <c r="M649" s="572">
        <v>3210068.8806937789</v>
      </c>
      <c r="N649" s="556"/>
      <c r="O649" s="556"/>
    </row>
    <row r="650" spans="3:15">
      <c r="C650" s="548">
        <f>IF(D635="","-",+C649+1)</f>
        <v>2024</v>
      </c>
      <c r="D650" s="506">
        <f t="shared" si="36"/>
        <v>16456793.572500002</v>
      </c>
      <c r="E650" s="549">
        <f t="shared" si="41"/>
        <v>645364.45382352942</v>
      </c>
      <c r="F650" s="506">
        <f t="shared" si="37"/>
        <v>15811429.118676472</v>
      </c>
      <c r="G650" s="554">
        <f t="shared" si="38"/>
        <v>3051328.1436907034</v>
      </c>
      <c r="H650" s="555">
        <f t="shared" si="39"/>
        <v>3051328.1436907034</v>
      </c>
      <c r="I650" s="552">
        <f t="shared" si="40"/>
        <v>0</v>
      </c>
      <c r="J650" s="552"/>
      <c r="K650" s="572">
        <v>3067044.667316657</v>
      </c>
      <c r="L650" s="556"/>
      <c r="M650" s="572">
        <v>3067044.667316657</v>
      </c>
      <c r="N650" s="556"/>
      <c r="O650" s="556"/>
    </row>
    <row r="651" spans="3:15">
      <c r="C651" s="548">
        <f>IF(D635="","-",+C650+1)</f>
        <v>2025</v>
      </c>
      <c r="D651" s="506">
        <f t="shared" si="36"/>
        <v>15811429.118676472</v>
      </c>
      <c r="E651" s="549">
        <f t="shared" si="41"/>
        <v>645364.45382352942</v>
      </c>
      <c r="F651" s="506">
        <f t="shared" si="37"/>
        <v>15166064.664852943</v>
      </c>
      <c r="G651" s="554">
        <f t="shared" si="38"/>
        <v>2955089.5960960165</v>
      </c>
      <c r="H651" s="555">
        <f t="shared" si="39"/>
        <v>2955089.5960960165</v>
      </c>
      <c r="I651" s="552">
        <f t="shared" si="40"/>
        <v>0</v>
      </c>
      <c r="J651" s="552"/>
      <c r="K651" s="572">
        <v>2963611.3052831772</v>
      </c>
      <c r="L651" s="556"/>
      <c r="M651" s="572">
        <v>2963611.3052831772</v>
      </c>
      <c r="N651" s="556"/>
      <c r="O651" s="556"/>
    </row>
    <row r="652" spans="3:15">
      <c r="C652" s="955">
        <f>IF(D635="","-",+C651+1)</f>
        <v>2026</v>
      </c>
      <c r="D652" s="506">
        <f t="shared" si="36"/>
        <v>15166064.664852943</v>
      </c>
      <c r="E652" s="549">
        <f t="shared" si="41"/>
        <v>645364.45382352942</v>
      </c>
      <c r="F652" s="506">
        <f t="shared" si="37"/>
        <v>14520700.211029414</v>
      </c>
      <c r="G652" s="554">
        <f t="shared" si="38"/>
        <v>2858851.0485013295</v>
      </c>
      <c r="H652" s="555">
        <f t="shared" si="39"/>
        <v>2858851.0485013295</v>
      </c>
      <c r="I652" s="552">
        <f t="shared" si="40"/>
        <v>0</v>
      </c>
      <c r="J652" s="552"/>
      <c r="K652" s="572"/>
      <c r="L652" s="556"/>
      <c r="M652" s="572"/>
      <c r="N652" s="556"/>
      <c r="O652" s="556"/>
    </row>
    <row r="653" spans="3:15">
      <c r="C653" s="548">
        <f>IF(D635="","-",+C652+1)</f>
        <v>2027</v>
      </c>
      <c r="D653" s="506">
        <f t="shared" si="36"/>
        <v>14520700.211029414</v>
      </c>
      <c r="E653" s="549">
        <f t="shared" si="41"/>
        <v>645364.45382352942</v>
      </c>
      <c r="F653" s="506">
        <f t="shared" si="37"/>
        <v>13875335.757205885</v>
      </c>
      <c r="G653" s="554">
        <f t="shared" si="38"/>
        <v>2762612.5009066425</v>
      </c>
      <c r="H653" s="555">
        <f t="shared" si="39"/>
        <v>2762612.5009066425</v>
      </c>
      <c r="I653" s="552">
        <f t="shared" si="40"/>
        <v>0</v>
      </c>
      <c r="J653" s="552"/>
      <c r="K653" s="572"/>
      <c r="L653" s="556"/>
      <c r="M653" s="572"/>
      <c r="N653" s="557"/>
      <c r="O653" s="556"/>
    </row>
    <row r="654" spans="3:15">
      <c r="C654" s="548">
        <f>IF(D635="","-",+C653+1)</f>
        <v>2028</v>
      </c>
      <c r="D654" s="506">
        <f t="shared" si="36"/>
        <v>13875335.757205885</v>
      </c>
      <c r="E654" s="549">
        <f t="shared" si="41"/>
        <v>645364.45382352942</v>
      </c>
      <c r="F654" s="506">
        <f t="shared" si="37"/>
        <v>13229971.303382356</v>
      </c>
      <c r="G654" s="554">
        <f t="shared" si="38"/>
        <v>2666373.9533119556</v>
      </c>
      <c r="H654" s="555">
        <f t="shared" si="39"/>
        <v>2666373.9533119556</v>
      </c>
      <c r="I654" s="552">
        <f t="shared" si="40"/>
        <v>0</v>
      </c>
      <c r="J654" s="552"/>
      <c r="K654" s="572"/>
      <c r="L654" s="556"/>
      <c r="M654" s="572"/>
      <c r="N654" s="556"/>
      <c r="O654" s="556"/>
    </row>
    <row r="655" spans="3:15">
      <c r="C655" s="548">
        <f>IF(D635="","-",+C654+1)</f>
        <v>2029</v>
      </c>
      <c r="D655" s="506">
        <f t="shared" si="36"/>
        <v>13229971.303382356</v>
      </c>
      <c r="E655" s="549">
        <f t="shared" si="41"/>
        <v>645364.45382352942</v>
      </c>
      <c r="F655" s="506">
        <f t="shared" si="37"/>
        <v>12584606.849558827</v>
      </c>
      <c r="G655" s="554">
        <f t="shared" si="38"/>
        <v>2570135.4057172686</v>
      </c>
      <c r="H655" s="555">
        <f t="shared" si="39"/>
        <v>2570135.4057172686</v>
      </c>
      <c r="I655" s="552">
        <f t="shared" si="40"/>
        <v>0</v>
      </c>
      <c r="J655" s="552"/>
      <c r="K655" s="572"/>
      <c r="L655" s="556"/>
      <c r="M655" s="572"/>
      <c r="N655" s="556"/>
      <c r="O655" s="556"/>
    </row>
    <row r="656" spans="3:15">
      <c r="C656" s="548">
        <f>IF(D635="","-",+C655+1)</f>
        <v>2030</v>
      </c>
      <c r="D656" s="506">
        <f t="shared" si="36"/>
        <v>12584606.849558827</v>
      </c>
      <c r="E656" s="549">
        <f t="shared" si="41"/>
        <v>645364.45382352942</v>
      </c>
      <c r="F656" s="506">
        <f t="shared" si="37"/>
        <v>11939242.395735297</v>
      </c>
      <c r="G656" s="554">
        <f t="shared" si="38"/>
        <v>2473896.8581225816</v>
      </c>
      <c r="H656" s="555">
        <f t="shared" si="39"/>
        <v>2473896.8581225816</v>
      </c>
      <c r="I656" s="552">
        <f t="shared" si="40"/>
        <v>0</v>
      </c>
      <c r="J656" s="552"/>
      <c r="K656" s="572"/>
      <c r="L656" s="556"/>
      <c r="M656" s="572"/>
      <c r="N656" s="556"/>
      <c r="O656" s="556"/>
    </row>
    <row r="657" spans="3:15">
      <c r="C657" s="548">
        <f>IF(D635="","-",+C656+1)</f>
        <v>2031</v>
      </c>
      <c r="D657" s="506">
        <f t="shared" si="36"/>
        <v>11939242.395735297</v>
      </c>
      <c r="E657" s="549">
        <f t="shared" si="41"/>
        <v>645364.45382352942</v>
      </c>
      <c r="F657" s="506">
        <f t="shared" si="37"/>
        <v>11293877.941911768</v>
      </c>
      <c r="G657" s="554">
        <f t="shared" si="38"/>
        <v>2377658.3105278946</v>
      </c>
      <c r="H657" s="555">
        <f t="shared" si="39"/>
        <v>2377658.3105278946</v>
      </c>
      <c r="I657" s="552">
        <f t="shared" si="40"/>
        <v>0</v>
      </c>
      <c r="J657" s="552"/>
      <c r="K657" s="572"/>
      <c r="L657" s="556"/>
      <c r="M657" s="572"/>
      <c r="N657" s="556"/>
      <c r="O657" s="556"/>
    </row>
    <row r="658" spans="3:15">
      <c r="C658" s="548">
        <f>IF(D635="","-",+C657+1)</f>
        <v>2032</v>
      </c>
      <c r="D658" s="506">
        <f t="shared" si="36"/>
        <v>11293877.941911768</v>
      </c>
      <c r="E658" s="549">
        <f t="shared" si="41"/>
        <v>645364.45382352942</v>
      </c>
      <c r="F658" s="506">
        <f t="shared" si="37"/>
        <v>10648513.488088239</v>
      </c>
      <c r="G658" s="554">
        <f t="shared" si="38"/>
        <v>2281419.7629332077</v>
      </c>
      <c r="H658" s="555">
        <f t="shared" si="39"/>
        <v>2281419.7629332077</v>
      </c>
      <c r="I658" s="552">
        <f t="shared" si="40"/>
        <v>0</v>
      </c>
      <c r="J658" s="552"/>
      <c r="K658" s="572"/>
      <c r="L658" s="556"/>
      <c r="M658" s="572"/>
      <c r="N658" s="556"/>
      <c r="O658" s="556"/>
    </row>
    <row r="659" spans="3:15">
      <c r="C659" s="548">
        <f>IF(D635="","-",+C658+1)</f>
        <v>2033</v>
      </c>
      <c r="D659" s="506">
        <f t="shared" si="36"/>
        <v>10648513.488088239</v>
      </c>
      <c r="E659" s="549">
        <f t="shared" si="41"/>
        <v>645364.45382352942</v>
      </c>
      <c r="F659" s="506">
        <f t="shared" si="37"/>
        <v>10003149.03426471</v>
      </c>
      <c r="G659" s="554">
        <f t="shared" si="38"/>
        <v>2185181.2153385207</v>
      </c>
      <c r="H659" s="555">
        <f t="shared" si="39"/>
        <v>2185181.2153385207</v>
      </c>
      <c r="I659" s="552">
        <f t="shared" si="40"/>
        <v>0</v>
      </c>
      <c r="J659" s="552"/>
      <c r="K659" s="572"/>
      <c r="L659" s="556"/>
      <c r="M659" s="572"/>
      <c r="N659" s="556"/>
      <c r="O659" s="556"/>
    </row>
    <row r="660" spans="3:15">
      <c r="C660" s="548">
        <f>IF(D635="","-",+C659+1)</f>
        <v>2034</v>
      </c>
      <c r="D660" s="506">
        <f t="shared" si="36"/>
        <v>10003149.03426471</v>
      </c>
      <c r="E660" s="549">
        <f t="shared" si="41"/>
        <v>645364.45382352942</v>
      </c>
      <c r="F660" s="506">
        <f t="shared" si="37"/>
        <v>9357784.5804411806</v>
      </c>
      <c r="G660" s="554">
        <f t="shared" si="38"/>
        <v>2088942.6677438342</v>
      </c>
      <c r="H660" s="555">
        <f t="shared" si="39"/>
        <v>2088942.6677438342</v>
      </c>
      <c r="I660" s="552">
        <f t="shared" si="40"/>
        <v>0</v>
      </c>
      <c r="J660" s="552"/>
      <c r="K660" s="572"/>
      <c r="L660" s="556"/>
      <c r="M660" s="572"/>
      <c r="N660" s="556"/>
      <c r="O660" s="556"/>
    </row>
    <row r="661" spans="3:15">
      <c r="C661" s="548">
        <f>IF(D635="","-",+C660+1)</f>
        <v>2035</v>
      </c>
      <c r="D661" s="506">
        <f t="shared" si="36"/>
        <v>9357784.5804411806</v>
      </c>
      <c r="E661" s="549">
        <f t="shared" si="41"/>
        <v>645364.45382352942</v>
      </c>
      <c r="F661" s="506">
        <f t="shared" si="37"/>
        <v>8712420.1266176514</v>
      </c>
      <c r="G661" s="554">
        <f t="shared" si="38"/>
        <v>1992704.1201491472</v>
      </c>
      <c r="H661" s="555">
        <f t="shared" si="39"/>
        <v>1992704.1201491472</v>
      </c>
      <c r="I661" s="552">
        <f t="shared" si="40"/>
        <v>0</v>
      </c>
      <c r="J661" s="552"/>
      <c r="K661" s="572"/>
      <c r="L661" s="556"/>
      <c r="M661" s="572"/>
      <c r="N661" s="556"/>
      <c r="O661" s="556"/>
    </row>
    <row r="662" spans="3:15">
      <c r="C662" s="548">
        <f>IF(D635="","-",+C661+1)</f>
        <v>2036</v>
      </c>
      <c r="D662" s="506">
        <f t="shared" si="36"/>
        <v>8712420.1266176514</v>
      </c>
      <c r="E662" s="549">
        <f t="shared" si="41"/>
        <v>645364.45382352942</v>
      </c>
      <c r="F662" s="506">
        <f t="shared" si="37"/>
        <v>8067055.6727941222</v>
      </c>
      <c r="G662" s="554">
        <f t="shared" si="38"/>
        <v>1896465.5725544603</v>
      </c>
      <c r="H662" s="555">
        <f t="shared" si="39"/>
        <v>1896465.5725544603</v>
      </c>
      <c r="I662" s="552">
        <f t="shared" si="40"/>
        <v>0</v>
      </c>
      <c r="J662" s="552"/>
      <c r="K662" s="572"/>
      <c r="L662" s="556"/>
      <c r="M662" s="572"/>
      <c r="N662" s="556"/>
      <c r="O662" s="556"/>
    </row>
    <row r="663" spans="3:15">
      <c r="C663" s="548">
        <f>IF(D635="","-",+C662+1)</f>
        <v>2037</v>
      </c>
      <c r="D663" s="506">
        <f t="shared" si="36"/>
        <v>8067055.6727941222</v>
      </c>
      <c r="E663" s="549">
        <f t="shared" si="41"/>
        <v>645364.45382352942</v>
      </c>
      <c r="F663" s="506">
        <f t="shared" si="37"/>
        <v>7421691.2189705931</v>
      </c>
      <c r="G663" s="554">
        <f t="shared" si="38"/>
        <v>1800227.0249597733</v>
      </c>
      <c r="H663" s="555">
        <f t="shared" si="39"/>
        <v>1800227.0249597733</v>
      </c>
      <c r="I663" s="552">
        <f t="shared" si="40"/>
        <v>0</v>
      </c>
      <c r="J663" s="552"/>
      <c r="K663" s="572"/>
      <c r="L663" s="556"/>
      <c r="M663" s="572"/>
      <c r="N663" s="556"/>
      <c r="O663" s="556"/>
    </row>
    <row r="664" spans="3:15">
      <c r="C664" s="548">
        <f>IF(D635="","-",+C663+1)</f>
        <v>2038</v>
      </c>
      <c r="D664" s="506">
        <f t="shared" si="36"/>
        <v>7421691.2189705931</v>
      </c>
      <c r="E664" s="549">
        <f t="shared" si="41"/>
        <v>645364.45382352942</v>
      </c>
      <c r="F664" s="506">
        <f t="shared" si="37"/>
        <v>6776326.7651470639</v>
      </c>
      <c r="G664" s="554">
        <f t="shared" si="38"/>
        <v>1703988.4773650866</v>
      </c>
      <c r="H664" s="555">
        <f t="shared" si="39"/>
        <v>1703988.4773650866</v>
      </c>
      <c r="I664" s="552">
        <f t="shared" si="40"/>
        <v>0</v>
      </c>
      <c r="J664" s="552"/>
      <c r="K664" s="572"/>
      <c r="L664" s="556"/>
      <c r="M664" s="572"/>
      <c r="N664" s="556"/>
      <c r="O664" s="556"/>
    </row>
    <row r="665" spans="3:15">
      <c r="C665" s="548">
        <f>IF(D635="","-",+C664+1)</f>
        <v>2039</v>
      </c>
      <c r="D665" s="506">
        <f t="shared" si="36"/>
        <v>6776326.7651470639</v>
      </c>
      <c r="E665" s="549">
        <f t="shared" si="41"/>
        <v>645364.45382352942</v>
      </c>
      <c r="F665" s="506">
        <f t="shared" si="37"/>
        <v>6130962.3113235347</v>
      </c>
      <c r="G665" s="554">
        <f t="shared" si="38"/>
        <v>1607749.9297703996</v>
      </c>
      <c r="H665" s="555">
        <f t="shared" si="39"/>
        <v>1607749.9297703996</v>
      </c>
      <c r="I665" s="552">
        <f t="shared" si="40"/>
        <v>0</v>
      </c>
      <c r="J665" s="552"/>
      <c r="K665" s="572"/>
      <c r="L665" s="556"/>
      <c r="M665" s="572"/>
      <c r="N665" s="556"/>
      <c r="O665" s="556"/>
    </row>
    <row r="666" spans="3:15">
      <c r="C666" s="548">
        <f>IF(D635="","-",+C665+1)</f>
        <v>2040</v>
      </c>
      <c r="D666" s="506">
        <f t="shared" si="36"/>
        <v>6130962.3113235347</v>
      </c>
      <c r="E666" s="549">
        <f t="shared" si="41"/>
        <v>645364.45382352942</v>
      </c>
      <c r="F666" s="506">
        <f t="shared" si="37"/>
        <v>5485597.8575000055</v>
      </c>
      <c r="G666" s="554">
        <f t="shared" si="38"/>
        <v>1511511.3821757126</v>
      </c>
      <c r="H666" s="555">
        <f t="shared" si="39"/>
        <v>1511511.3821757126</v>
      </c>
      <c r="I666" s="552">
        <f t="shared" si="40"/>
        <v>0</v>
      </c>
      <c r="J666" s="552"/>
      <c r="K666" s="572"/>
      <c r="L666" s="556"/>
      <c r="M666" s="572"/>
      <c r="N666" s="556"/>
      <c r="O666" s="556"/>
    </row>
    <row r="667" spans="3:15">
      <c r="C667" s="548">
        <f>IF(D635="","-",+C666+1)</f>
        <v>2041</v>
      </c>
      <c r="D667" s="506">
        <f t="shared" si="36"/>
        <v>5485597.8575000055</v>
      </c>
      <c r="E667" s="549">
        <f t="shared" si="41"/>
        <v>645364.45382352942</v>
      </c>
      <c r="F667" s="506">
        <f t="shared" si="37"/>
        <v>4840233.4036764763</v>
      </c>
      <c r="G667" s="554">
        <f t="shared" si="38"/>
        <v>1415272.8345810259</v>
      </c>
      <c r="H667" s="555">
        <f t="shared" si="39"/>
        <v>1415272.8345810259</v>
      </c>
      <c r="I667" s="552">
        <f t="shared" si="40"/>
        <v>0</v>
      </c>
      <c r="J667" s="552"/>
      <c r="K667" s="572"/>
      <c r="L667" s="556"/>
      <c r="M667" s="572"/>
      <c r="N667" s="556"/>
      <c r="O667" s="556"/>
    </row>
    <row r="668" spans="3:15">
      <c r="C668" s="548">
        <f>IF(D635="","-",+C667+1)</f>
        <v>2042</v>
      </c>
      <c r="D668" s="506">
        <f t="shared" si="36"/>
        <v>4840233.4036764763</v>
      </c>
      <c r="E668" s="549">
        <f t="shared" si="41"/>
        <v>645364.45382352942</v>
      </c>
      <c r="F668" s="506">
        <f t="shared" si="37"/>
        <v>4194868.9498529471</v>
      </c>
      <c r="G668" s="554">
        <f t="shared" si="38"/>
        <v>1319034.2869863389</v>
      </c>
      <c r="H668" s="555">
        <f t="shared" si="39"/>
        <v>1319034.2869863389</v>
      </c>
      <c r="I668" s="552">
        <f t="shared" si="40"/>
        <v>0</v>
      </c>
      <c r="J668" s="552"/>
      <c r="K668" s="572"/>
      <c r="L668" s="556"/>
      <c r="M668" s="572"/>
      <c r="N668" s="556"/>
      <c r="O668" s="556"/>
    </row>
    <row r="669" spans="3:15">
      <c r="C669" s="548">
        <f>IF(D635="","-",+C668+1)</f>
        <v>2043</v>
      </c>
      <c r="D669" s="506">
        <f t="shared" si="36"/>
        <v>4194868.9498529471</v>
      </c>
      <c r="E669" s="549">
        <f t="shared" si="41"/>
        <v>645364.45382352942</v>
      </c>
      <c r="F669" s="506">
        <f t="shared" si="37"/>
        <v>3549504.496029418</v>
      </c>
      <c r="G669" s="550">
        <f t="shared" si="38"/>
        <v>1222795.7393916519</v>
      </c>
      <c r="H669" s="555">
        <f t="shared" si="39"/>
        <v>1222795.7393916519</v>
      </c>
      <c r="I669" s="552">
        <f t="shared" si="40"/>
        <v>0</v>
      </c>
      <c r="J669" s="552"/>
      <c r="K669" s="572"/>
      <c r="L669" s="556"/>
      <c r="M669" s="572"/>
      <c r="N669" s="556"/>
      <c r="O669" s="556"/>
    </row>
    <row r="670" spans="3:15">
      <c r="C670" s="548">
        <f>IF(D635="","-",+C669+1)</f>
        <v>2044</v>
      </c>
      <c r="D670" s="506">
        <f t="shared" si="36"/>
        <v>3549504.496029418</v>
      </c>
      <c r="E670" s="549">
        <f t="shared" si="41"/>
        <v>645364.45382352942</v>
      </c>
      <c r="F670" s="506">
        <f t="shared" si="37"/>
        <v>2904140.0422058888</v>
      </c>
      <c r="G670" s="554">
        <f t="shared" si="38"/>
        <v>1126557.191796965</v>
      </c>
      <c r="H670" s="555">
        <f t="shared" si="39"/>
        <v>1126557.191796965</v>
      </c>
      <c r="I670" s="552">
        <f t="shared" si="40"/>
        <v>0</v>
      </c>
      <c r="J670" s="552"/>
      <c r="K670" s="572"/>
      <c r="L670" s="556"/>
      <c r="M670" s="572"/>
      <c r="N670" s="556"/>
      <c r="O670" s="556"/>
    </row>
    <row r="671" spans="3:15">
      <c r="C671" s="548">
        <f>IF(D635="","-",+C670+1)</f>
        <v>2045</v>
      </c>
      <c r="D671" s="506">
        <f t="shared" si="36"/>
        <v>2904140.0422058888</v>
      </c>
      <c r="E671" s="549">
        <f t="shared" si="41"/>
        <v>645364.45382352942</v>
      </c>
      <c r="F671" s="506">
        <f t="shared" si="37"/>
        <v>2258775.5883823596</v>
      </c>
      <c r="G671" s="554">
        <f t="shared" si="38"/>
        <v>1030318.6442022782</v>
      </c>
      <c r="H671" s="555">
        <f t="shared" si="39"/>
        <v>1030318.6442022782</v>
      </c>
      <c r="I671" s="552">
        <f t="shared" si="40"/>
        <v>0</v>
      </c>
      <c r="J671" s="552"/>
      <c r="K671" s="572"/>
      <c r="L671" s="556"/>
      <c r="M671" s="572"/>
      <c r="N671" s="556"/>
      <c r="O671" s="556"/>
    </row>
    <row r="672" spans="3:15">
      <c r="C672" s="548">
        <f>IF(D635="","-",+C671+1)</f>
        <v>2046</v>
      </c>
      <c r="D672" s="506">
        <f t="shared" si="36"/>
        <v>2258775.5883823596</v>
      </c>
      <c r="E672" s="549">
        <f t="shared" si="41"/>
        <v>645364.45382352942</v>
      </c>
      <c r="F672" s="506">
        <f t="shared" si="37"/>
        <v>1613411.1345588302</v>
      </c>
      <c r="G672" s="554">
        <f t="shared" si="38"/>
        <v>934080.09660759126</v>
      </c>
      <c r="H672" s="555">
        <f t="shared" si="39"/>
        <v>934080.09660759126</v>
      </c>
      <c r="I672" s="552">
        <f t="shared" si="40"/>
        <v>0</v>
      </c>
      <c r="J672" s="552"/>
      <c r="K672" s="572"/>
      <c r="L672" s="556"/>
      <c r="M672" s="572"/>
      <c r="N672" s="556"/>
      <c r="O672" s="556"/>
    </row>
    <row r="673" spans="3:15">
      <c r="C673" s="548">
        <f>IF(D635="","-",+C672+1)</f>
        <v>2047</v>
      </c>
      <c r="D673" s="506">
        <f t="shared" si="36"/>
        <v>1613411.1345588302</v>
      </c>
      <c r="E673" s="549">
        <f t="shared" si="41"/>
        <v>645364.45382352942</v>
      </c>
      <c r="F673" s="506">
        <f t="shared" si="37"/>
        <v>968046.68073530076</v>
      </c>
      <c r="G673" s="554">
        <f t="shared" si="38"/>
        <v>837841.54901290429</v>
      </c>
      <c r="H673" s="555">
        <f t="shared" si="39"/>
        <v>837841.54901290429</v>
      </c>
      <c r="I673" s="552">
        <f t="shared" si="40"/>
        <v>0</v>
      </c>
      <c r="J673" s="552"/>
      <c r="K673" s="572"/>
      <c r="L673" s="556"/>
      <c r="M673" s="572"/>
      <c r="N673" s="556"/>
      <c r="O673" s="556"/>
    </row>
    <row r="674" spans="3:15">
      <c r="C674" s="548">
        <f>IF(D635="","-",+C673+1)</f>
        <v>2048</v>
      </c>
      <c r="D674" s="506">
        <f t="shared" si="36"/>
        <v>968046.68073530076</v>
      </c>
      <c r="E674" s="549">
        <f t="shared" si="41"/>
        <v>645364.45382352942</v>
      </c>
      <c r="F674" s="506">
        <f t="shared" si="37"/>
        <v>322682.22691177134</v>
      </c>
      <c r="G674" s="554">
        <f t="shared" si="38"/>
        <v>741603.00141821732</v>
      </c>
      <c r="H674" s="555">
        <f t="shared" si="39"/>
        <v>741603.00141821732</v>
      </c>
      <c r="I674" s="552">
        <f t="shared" si="40"/>
        <v>0</v>
      </c>
      <c r="J674" s="552"/>
      <c r="K674" s="572"/>
      <c r="L674" s="556"/>
      <c r="M674" s="572"/>
      <c r="N674" s="556"/>
      <c r="O674" s="556"/>
    </row>
    <row r="675" spans="3:15">
      <c r="C675" s="548">
        <f>IF(D635="","-",+C674+1)</f>
        <v>2049</v>
      </c>
      <c r="D675" s="506">
        <f t="shared" si="36"/>
        <v>322682.22691177134</v>
      </c>
      <c r="E675" s="549">
        <f t="shared" si="41"/>
        <v>322682.22691177134</v>
      </c>
      <c r="F675" s="506">
        <f t="shared" si="37"/>
        <v>0</v>
      </c>
      <c r="G675" s="554">
        <f t="shared" si="38"/>
        <v>346741.86381044355</v>
      </c>
      <c r="H675" s="555">
        <f t="shared" si="39"/>
        <v>346741.86381044355</v>
      </c>
      <c r="I675" s="552">
        <f t="shared" si="40"/>
        <v>0</v>
      </c>
      <c r="J675" s="552"/>
      <c r="K675" s="572"/>
      <c r="L675" s="556"/>
      <c r="M675" s="572"/>
      <c r="N675" s="556"/>
      <c r="O675" s="556"/>
    </row>
    <row r="676" spans="3:15">
      <c r="C676" s="548">
        <f>IF(D635="","-",+C675+1)</f>
        <v>2050</v>
      </c>
      <c r="D676" s="506">
        <f t="shared" si="36"/>
        <v>0</v>
      </c>
      <c r="E676" s="549">
        <f t="shared" si="41"/>
        <v>0</v>
      </c>
      <c r="F676" s="506">
        <f t="shared" si="37"/>
        <v>0</v>
      </c>
      <c r="G676" s="554">
        <f t="shared" si="38"/>
        <v>0</v>
      </c>
      <c r="H676" s="555">
        <f t="shared" si="39"/>
        <v>0</v>
      </c>
      <c r="I676" s="552">
        <f t="shared" si="40"/>
        <v>0</v>
      </c>
      <c r="J676" s="552"/>
      <c r="K676" s="572"/>
      <c r="L676" s="556"/>
      <c r="M676" s="572"/>
      <c r="N676" s="556"/>
      <c r="O676" s="556"/>
    </row>
    <row r="677" spans="3:15">
      <c r="C677" s="548">
        <f>IF(D635="","-",+C676+1)</f>
        <v>2051</v>
      </c>
      <c r="D677" s="506">
        <f t="shared" si="36"/>
        <v>0</v>
      </c>
      <c r="E677" s="549">
        <f t="shared" si="41"/>
        <v>0</v>
      </c>
      <c r="F677" s="506">
        <f t="shared" si="37"/>
        <v>0</v>
      </c>
      <c r="G677" s="554">
        <f t="shared" si="38"/>
        <v>0</v>
      </c>
      <c r="H677" s="555">
        <f t="shared" si="39"/>
        <v>0</v>
      </c>
      <c r="I677" s="552">
        <f t="shared" si="40"/>
        <v>0</v>
      </c>
      <c r="J677" s="552"/>
      <c r="K677" s="572"/>
      <c r="L677" s="556"/>
      <c r="M677" s="572"/>
      <c r="N677" s="556"/>
      <c r="O677" s="556"/>
    </row>
    <row r="678" spans="3:15">
      <c r="C678" s="548">
        <f>IF(D635="","-",+C677+1)</f>
        <v>2052</v>
      </c>
      <c r="D678" s="506">
        <f t="shared" si="36"/>
        <v>0</v>
      </c>
      <c r="E678" s="549">
        <f t="shared" si="41"/>
        <v>0</v>
      </c>
      <c r="F678" s="506">
        <f t="shared" si="37"/>
        <v>0</v>
      </c>
      <c r="G678" s="554">
        <f t="shared" si="38"/>
        <v>0</v>
      </c>
      <c r="H678" s="555">
        <f t="shared" si="39"/>
        <v>0</v>
      </c>
      <c r="I678" s="552">
        <f t="shared" si="40"/>
        <v>0</v>
      </c>
      <c r="J678" s="552"/>
      <c r="K678" s="572"/>
      <c r="L678" s="556"/>
      <c r="M678" s="572"/>
      <c r="N678" s="556"/>
      <c r="O678" s="556"/>
    </row>
    <row r="679" spans="3:15">
      <c r="C679" s="548">
        <f>IF(D635="","-",+C678+1)</f>
        <v>2053</v>
      </c>
      <c r="D679" s="506">
        <f t="shared" si="36"/>
        <v>0</v>
      </c>
      <c r="E679" s="549">
        <f t="shared" si="41"/>
        <v>0</v>
      </c>
      <c r="F679" s="506">
        <f t="shared" si="37"/>
        <v>0</v>
      </c>
      <c r="G679" s="554">
        <f t="shared" si="38"/>
        <v>0</v>
      </c>
      <c r="H679" s="555">
        <f t="shared" si="39"/>
        <v>0</v>
      </c>
      <c r="I679" s="552">
        <f t="shared" si="40"/>
        <v>0</v>
      </c>
      <c r="J679" s="552"/>
      <c r="K679" s="572"/>
      <c r="L679" s="556"/>
      <c r="M679" s="572"/>
      <c r="N679" s="556"/>
      <c r="O679" s="556"/>
    </row>
    <row r="680" spans="3:15">
      <c r="C680" s="548">
        <f>IF(D635="","-",+C679+1)</f>
        <v>2054</v>
      </c>
      <c r="D680" s="506">
        <f t="shared" si="36"/>
        <v>0</v>
      </c>
      <c r="E680" s="549">
        <f t="shared" si="41"/>
        <v>0</v>
      </c>
      <c r="F680" s="506">
        <f t="shared" si="37"/>
        <v>0</v>
      </c>
      <c r="G680" s="554">
        <f t="shared" si="38"/>
        <v>0</v>
      </c>
      <c r="H680" s="555">
        <f t="shared" si="39"/>
        <v>0</v>
      </c>
      <c r="I680" s="552">
        <f t="shared" si="40"/>
        <v>0</v>
      </c>
      <c r="J680" s="552"/>
      <c r="K680" s="572"/>
      <c r="L680" s="556"/>
      <c r="M680" s="572"/>
      <c r="N680" s="556"/>
      <c r="O680" s="556"/>
    </row>
    <row r="681" spans="3:15">
      <c r="C681" s="548">
        <f>IF(D635="","-",+C680+1)</f>
        <v>2055</v>
      </c>
      <c r="D681" s="506">
        <f t="shared" si="36"/>
        <v>0</v>
      </c>
      <c r="E681" s="549">
        <f t="shared" si="41"/>
        <v>0</v>
      </c>
      <c r="F681" s="506">
        <f t="shared" si="37"/>
        <v>0</v>
      </c>
      <c r="G681" s="554">
        <f t="shared" si="38"/>
        <v>0</v>
      </c>
      <c r="H681" s="555">
        <f t="shared" si="39"/>
        <v>0</v>
      </c>
      <c r="I681" s="552">
        <f t="shared" si="40"/>
        <v>0</v>
      </c>
      <c r="J681" s="552"/>
      <c r="K681" s="572"/>
      <c r="L681" s="556"/>
      <c r="M681" s="572"/>
      <c r="N681" s="556"/>
      <c r="O681" s="556"/>
    </row>
    <row r="682" spans="3:15">
      <c r="C682" s="548">
        <f>IF(D635="","-",+C681+1)</f>
        <v>2056</v>
      </c>
      <c r="D682" s="506">
        <f t="shared" si="36"/>
        <v>0</v>
      </c>
      <c r="E682" s="549">
        <f t="shared" si="41"/>
        <v>0</v>
      </c>
      <c r="F682" s="506">
        <f t="shared" si="37"/>
        <v>0</v>
      </c>
      <c r="G682" s="554">
        <f t="shared" si="38"/>
        <v>0</v>
      </c>
      <c r="H682" s="555">
        <f t="shared" si="39"/>
        <v>0</v>
      </c>
      <c r="I682" s="552">
        <f t="shared" si="40"/>
        <v>0</v>
      </c>
      <c r="J682" s="552"/>
      <c r="K682" s="572"/>
      <c r="L682" s="556"/>
      <c r="M682" s="572"/>
      <c r="N682" s="556"/>
      <c r="O682" s="556"/>
    </row>
    <row r="683" spans="3:15">
      <c r="C683" s="548">
        <f>IF(D635="","-",+C682+1)</f>
        <v>2057</v>
      </c>
      <c r="D683" s="506">
        <f t="shared" si="36"/>
        <v>0</v>
      </c>
      <c r="E683" s="549">
        <f t="shared" si="41"/>
        <v>0</v>
      </c>
      <c r="F683" s="506">
        <f t="shared" si="37"/>
        <v>0</v>
      </c>
      <c r="G683" s="554">
        <f t="shared" si="38"/>
        <v>0</v>
      </c>
      <c r="H683" s="555">
        <f t="shared" si="39"/>
        <v>0</v>
      </c>
      <c r="I683" s="552">
        <f t="shared" si="40"/>
        <v>0</v>
      </c>
      <c r="J683" s="552"/>
      <c r="K683" s="572"/>
      <c r="L683" s="556"/>
      <c r="M683" s="572"/>
      <c r="N683" s="556"/>
      <c r="O683" s="556"/>
    </row>
    <row r="684" spans="3:15">
      <c r="C684" s="548">
        <f>IF(D635="","-",+C683+1)</f>
        <v>2058</v>
      </c>
      <c r="D684" s="506">
        <f t="shared" si="36"/>
        <v>0</v>
      </c>
      <c r="E684" s="549">
        <f t="shared" si="41"/>
        <v>0</v>
      </c>
      <c r="F684" s="506">
        <f t="shared" si="37"/>
        <v>0</v>
      </c>
      <c r="G684" s="554">
        <f t="shared" si="38"/>
        <v>0</v>
      </c>
      <c r="H684" s="555">
        <f t="shared" si="39"/>
        <v>0</v>
      </c>
      <c r="I684" s="552">
        <f t="shared" si="40"/>
        <v>0</v>
      </c>
      <c r="J684" s="552"/>
      <c r="K684" s="572"/>
      <c r="L684" s="556"/>
      <c r="M684" s="572"/>
      <c r="N684" s="556"/>
      <c r="O684" s="556"/>
    </row>
    <row r="685" spans="3:15">
      <c r="C685" s="548">
        <f>IF(D635="","-",+C684+1)</f>
        <v>2059</v>
      </c>
      <c r="D685" s="506">
        <f t="shared" si="36"/>
        <v>0</v>
      </c>
      <c r="E685" s="549">
        <f t="shared" si="41"/>
        <v>0</v>
      </c>
      <c r="F685" s="506">
        <f t="shared" si="37"/>
        <v>0</v>
      </c>
      <c r="G685" s="554">
        <f t="shared" si="38"/>
        <v>0</v>
      </c>
      <c r="H685" s="555">
        <f t="shared" si="39"/>
        <v>0</v>
      </c>
      <c r="I685" s="552">
        <f t="shared" si="40"/>
        <v>0</v>
      </c>
      <c r="J685" s="552"/>
      <c r="K685" s="572"/>
      <c r="L685" s="556"/>
      <c r="M685" s="572"/>
      <c r="N685" s="556"/>
      <c r="O685" s="556"/>
    </row>
    <row r="686" spans="3:15">
      <c r="C686" s="548">
        <f>IF(D635="","-",+C685+1)</f>
        <v>2060</v>
      </c>
      <c r="D686" s="506">
        <f t="shared" si="36"/>
        <v>0</v>
      </c>
      <c r="E686" s="549">
        <f t="shared" si="41"/>
        <v>0</v>
      </c>
      <c r="F686" s="506">
        <f t="shared" si="37"/>
        <v>0</v>
      </c>
      <c r="G686" s="554">
        <f t="shared" si="38"/>
        <v>0</v>
      </c>
      <c r="H686" s="555">
        <f t="shared" si="39"/>
        <v>0</v>
      </c>
      <c r="I686" s="552">
        <f t="shared" si="40"/>
        <v>0</v>
      </c>
      <c r="J686" s="552"/>
      <c r="K686" s="572"/>
      <c r="L686" s="556"/>
      <c r="M686" s="572"/>
      <c r="N686" s="556"/>
      <c r="O686" s="556"/>
    </row>
    <row r="687" spans="3:15">
      <c r="C687" s="548">
        <f>IF(D635="","-",+C686+1)</f>
        <v>2061</v>
      </c>
      <c r="D687" s="506">
        <f t="shared" si="36"/>
        <v>0</v>
      </c>
      <c r="E687" s="549">
        <f t="shared" si="41"/>
        <v>0</v>
      </c>
      <c r="F687" s="506">
        <f t="shared" si="37"/>
        <v>0</v>
      </c>
      <c r="G687" s="554">
        <f t="shared" si="38"/>
        <v>0</v>
      </c>
      <c r="H687" s="555">
        <f t="shared" si="39"/>
        <v>0</v>
      </c>
      <c r="I687" s="552">
        <f t="shared" si="40"/>
        <v>0</v>
      </c>
      <c r="J687" s="552"/>
      <c r="K687" s="572"/>
      <c r="L687" s="556"/>
      <c r="M687" s="572"/>
      <c r="N687" s="556"/>
      <c r="O687" s="556"/>
    </row>
    <row r="688" spans="3:15">
      <c r="C688" s="548">
        <f>IF(D635="","-",+C687+1)</f>
        <v>2062</v>
      </c>
      <c r="D688" s="506">
        <f t="shared" si="36"/>
        <v>0</v>
      </c>
      <c r="E688" s="549">
        <f t="shared" si="41"/>
        <v>0</v>
      </c>
      <c r="F688" s="506">
        <f t="shared" si="37"/>
        <v>0</v>
      </c>
      <c r="G688" s="554">
        <f t="shared" si="38"/>
        <v>0</v>
      </c>
      <c r="H688" s="555">
        <f t="shared" si="39"/>
        <v>0</v>
      </c>
      <c r="I688" s="552">
        <f t="shared" si="40"/>
        <v>0</v>
      </c>
      <c r="J688" s="552"/>
      <c r="K688" s="572"/>
      <c r="L688" s="556"/>
      <c r="M688" s="572"/>
      <c r="N688" s="556"/>
      <c r="O688" s="556"/>
    </row>
    <row r="689" spans="3:15">
      <c r="C689" s="548">
        <f>IF(D635="","-",+C688+1)</f>
        <v>2063</v>
      </c>
      <c r="D689" s="506">
        <f t="shared" si="36"/>
        <v>0</v>
      </c>
      <c r="E689" s="549">
        <f t="shared" si="41"/>
        <v>0</v>
      </c>
      <c r="F689" s="506">
        <f t="shared" si="37"/>
        <v>0</v>
      </c>
      <c r="G689" s="554">
        <f t="shared" si="38"/>
        <v>0</v>
      </c>
      <c r="H689" s="555">
        <f t="shared" si="39"/>
        <v>0</v>
      </c>
      <c r="I689" s="552">
        <f t="shared" si="40"/>
        <v>0</v>
      </c>
      <c r="J689" s="552"/>
      <c r="K689" s="572"/>
      <c r="L689" s="556"/>
      <c r="M689" s="572"/>
      <c r="N689" s="556"/>
      <c r="O689" s="556"/>
    </row>
    <row r="690" spans="3:15">
      <c r="C690" s="548">
        <f>IF(D635="","-",+C689+1)</f>
        <v>2064</v>
      </c>
      <c r="D690" s="506">
        <f t="shared" si="36"/>
        <v>0</v>
      </c>
      <c r="E690" s="549">
        <f t="shared" si="41"/>
        <v>0</v>
      </c>
      <c r="F690" s="506">
        <f t="shared" si="37"/>
        <v>0</v>
      </c>
      <c r="G690" s="554">
        <f t="shared" si="38"/>
        <v>0</v>
      </c>
      <c r="H690" s="555">
        <f t="shared" si="39"/>
        <v>0</v>
      </c>
      <c r="I690" s="552">
        <f t="shared" si="40"/>
        <v>0</v>
      </c>
      <c r="J690" s="552"/>
      <c r="K690" s="572"/>
      <c r="L690" s="556"/>
      <c r="M690" s="572"/>
      <c r="N690" s="556"/>
      <c r="O690" s="556"/>
    </row>
    <row r="691" spans="3:15">
      <c r="C691" s="548">
        <f>IF(D635="","-",+C690+1)</f>
        <v>2065</v>
      </c>
      <c r="D691" s="506">
        <f t="shared" si="36"/>
        <v>0</v>
      </c>
      <c r="E691" s="549">
        <f t="shared" si="41"/>
        <v>0</v>
      </c>
      <c r="F691" s="506">
        <f t="shared" si="37"/>
        <v>0</v>
      </c>
      <c r="G691" s="554">
        <f t="shared" si="38"/>
        <v>0</v>
      </c>
      <c r="H691" s="555">
        <f t="shared" si="39"/>
        <v>0</v>
      </c>
      <c r="I691" s="552">
        <f t="shared" si="40"/>
        <v>0</v>
      </c>
      <c r="J691" s="552"/>
      <c r="K691" s="572"/>
      <c r="L691" s="556"/>
      <c r="M691" s="572"/>
      <c r="N691" s="556"/>
      <c r="O691" s="556"/>
    </row>
    <row r="692" spans="3:15">
      <c r="C692" s="548">
        <f>IF(D635="","-",+C691+1)</f>
        <v>2066</v>
      </c>
      <c r="D692" s="506">
        <f t="shared" si="36"/>
        <v>0</v>
      </c>
      <c r="E692" s="549">
        <f t="shared" si="41"/>
        <v>0</v>
      </c>
      <c r="F692" s="506">
        <f t="shared" si="37"/>
        <v>0</v>
      </c>
      <c r="G692" s="554">
        <f t="shared" si="38"/>
        <v>0</v>
      </c>
      <c r="H692" s="555">
        <f t="shared" si="39"/>
        <v>0</v>
      </c>
      <c r="I692" s="552">
        <f t="shared" si="40"/>
        <v>0</v>
      </c>
      <c r="J692" s="552"/>
      <c r="K692" s="572"/>
      <c r="L692" s="556"/>
      <c r="M692" s="572"/>
      <c r="N692" s="556"/>
      <c r="O692" s="556"/>
    </row>
    <row r="693" spans="3:15">
      <c r="C693" s="548">
        <f>IF(D635="","-",+C692+1)</f>
        <v>2067</v>
      </c>
      <c r="D693" s="506">
        <f t="shared" si="36"/>
        <v>0</v>
      </c>
      <c r="E693" s="549">
        <f t="shared" si="41"/>
        <v>0</v>
      </c>
      <c r="F693" s="506">
        <f t="shared" si="37"/>
        <v>0</v>
      </c>
      <c r="G693" s="554">
        <f t="shared" si="38"/>
        <v>0</v>
      </c>
      <c r="H693" s="555">
        <f t="shared" si="39"/>
        <v>0</v>
      </c>
      <c r="I693" s="552">
        <f t="shared" si="40"/>
        <v>0</v>
      </c>
      <c r="J693" s="552"/>
      <c r="K693" s="572"/>
      <c r="L693" s="556"/>
      <c r="M693" s="572"/>
      <c r="N693" s="556"/>
      <c r="O693" s="556"/>
    </row>
    <row r="694" spans="3:15">
      <c r="C694" s="548">
        <f>IF(D635="","-",+C693+1)</f>
        <v>2068</v>
      </c>
      <c r="D694" s="506">
        <f t="shared" si="36"/>
        <v>0</v>
      </c>
      <c r="E694" s="549">
        <f t="shared" si="41"/>
        <v>0</v>
      </c>
      <c r="F694" s="506">
        <f t="shared" si="37"/>
        <v>0</v>
      </c>
      <c r="G694" s="554">
        <f t="shared" si="38"/>
        <v>0</v>
      </c>
      <c r="H694" s="555">
        <f t="shared" si="39"/>
        <v>0</v>
      </c>
      <c r="I694" s="552">
        <f t="shared" si="40"/>
        <v>0</v>
      </c>
      <c r="J694" s="552"/>
      <c r="K694" s="572"/>
      <c r="L694" s="556"/>
      <c r="M694" s="572"/>
      <c r="N694" s="556"/>
      <c r="O694" s="556"/>
    </row>
    <row r="695" spans="3:15">
      <c r="C695" s="548">
        <f>IF(D635="","-",+C694+1)</f>
        <v>2069</v>
      </c>
      <c r="D695" s="506">
        <f t="shared" si="36"/>
        <v>0</v>
      </c>
      <c r="E695" s="549">
        <f t="shared" si="41"/>
        <v>0</v>
      </c>
      <c r="F695" s="506">
        <f t="shared" si="37"/>
        <v>0</v>
      </c>
      <c r="G695" s="554">
        <f t="shared" si="38"/>
        <v>0</v>
      </c>
      <c r="H695" s="555">
        <f t="shared" si="39"/>
        <v>0</v>
      </c>
      <c r="I695" s="552">
        <f t="shared" si="40"/>
        <v>0</v>
      </c>
      <c r="J695" s="552"/>
      <c r="K695" s="572"/>
      <c r="L695" s="556"/>
      <c r="M695" s="572"/>
      <c r="N695" s="556"/>
      <c r="O695" s="556"/>
    </row>
    <row r="696" spans="3:15">
      <c r="C696" s="548">
        <f>IF(D635="","-",+C695+1)</f>
        <v>2070</v>
      </c>
      <c r="D696" s="506">
        <f t="shared" si="36"/>
        <v>0</v>
      </c>
      <c r="E696" s="549">
        <f t="shared" si="41"/>
        <v>0</v>
      </c>
      <c r="F696" s="506">
        <f t="shared" si="37"/>
        <v>0</v>
      </c>
      <c r="G696" s="554">
        <f t="shared" si="38"/>
        <v>0</v>
      </c>
      <c r="H696" s="555">
        <f t="shared" si="39"/>
        <v>0</v>
      </c>
      <c r="I696" s="552">
        <f t="shared" si="40"/>
        <v>0</v>
      </c>
      <c r="J696" s="552"/>
      <c r="K696" s="572"/>
      <c r="L696" s="556"/>
      <c r="M696" s="572"/>
      <c r="N696" s="556"/>
      <c r="O696" s="556"/>
    </row>
    <row r="697" spans="3:15">
      <c r="C697" s="548">
        <f>IF(D635="","-",+C696+1)</f>
        <v>2071</v>
      </c>
      <c r="D697" s="506">
        <f t="shared" si="36"/>
        <v>0</v>
      </c>
      <c r="E697" s="549">
        <f t="shared" si="41"/>
        <v>0</v>
      </c>
      <c r="F697" s="506">
        <f t="shared" si="37"/>
        <v>0</v>
      </c>
      <c r="G697" s="554">
        <f t="shared" si="38"/>
        <v>0</v>
      </c>
      <c r="H697" s="555">
        <f t="shared" si="39"/>
        <v>0</v>
      </c>
      <c r="I697" s="552">
        <f t="shared" si="40"/>
        <v>0</v>
      </c>
      <c r="J697" s="552"/>
      <c r="K697" s="572"/>
      <c r="L697" s="556"/>
      <c r="M697" s="572"/>
      <c r="N697" s="556"/>
      <c r="O697" s="556"/>
    </row>
    <row r="698" spans="3:15">
      <c r="C698" s="548">
        <f>IF(D635="","-",+C697+1)</f>
        <v>2072</v>
      </c>
      <c r="D698" s="506">
        <f t="shared" si="36"/>
        <v>0</v>
      </c>
      <c r="E698" s="549">
        <f t="shared" si="41"/>
        <v>0</v>
      </c>
      <c r="F698" s="506">
        <f t="shared" si="37"/>
        <v>0</v>
      </c>
      <c r="G698" s="554">
        <f t="shared" si="38"/>
        <v>0</v>
      </c>
      <c r="H698" s="555">
        <f t="shared" si="39"/>
        <v>0</v>
      </c>
      <c r="I698" s="552">
        <f t="shared" si="40"/>
        <v>0</v>
      </c>
      <c r="J698" s="552"/>
      <c r="K698" s="572"/>
      <c r="L698" s="556"/>
      <c r="M698" s="572"/>
      <c r="N698" s="556"/>
      <c r="O698" s="556"/>
    </row>
    <row r="699" spans="3:15">
      <c r="C699" s="548">
        <f>IF(D635="","-",+C698+1)</f>
        <v>2073</v>
      </c>
      <c r="D699" s="506">
        <f t="shared" si="36"/>
        <v>0</v>
      </c>
      <c r="E699" s="549">
        <f t="shared" si="41"/>
        <v>0</v>
      </c>
      <c r="F699" s="506">
        <f t="shared" si="37"/>
        <v>0</v>
      </c>
      <c r="G699" s="554">
        <f t="shared" si="38"/>
        <v>0</v>
      </c>
      <c r="H699" s="555">
        <f t="shared" si="39"/>
        <v>0</v>
      </c>
      <c r="I699" s="552">
        <f t="shared" si="40"/>
        <v>0</v>
      </c>
      <c r="J699" s="552"/>
      <c r="K699" s="572"/>
      <c r="L699" s="556"/>
      <c r="M699" s="572"/>
      <c r="N699" s="556"/>
      <c r="O699" s="556"/>
    </row>
    <row r="700" spans="3:15" ht="13.5" thickBot="1">
      <c r="C700" s="558">
        <f>IF(D635="","-",+C699+1)</f>
        <v>2074</v>
      </c>
      <c r="D700" s="559">
        <f t="shared" si="36"/>
        <v>0</v>
      </c>
      <c r="E700" s="560">
        <f t="shared" si="41"/>
        <v>0</v>
      </c>
      <c r="F700" s="559">
        <f t="shared" si="37"/>
        <v>0</v>
      </c>
      <c r="G700" s="561">
        <f t="shared" si="38"/>
        <v>0</v>
      </c>
      <c r="H700" s="561">
        <f t="shared" si="39"/>
        <v>0</v>
      </c>
      <c r="I700" s="562">
        <f t="shared" si="40"/>
        <v>0</v>
      </c>
      <c r="J700" s="552"/>
      <c r="K700" s="573"/>
      <c r="L700" s="563"/>
      <c r="M700" s="573"/>
      <c r="N700" s="563"/>
      <c r="O700" s="563"/>
    </row>
    <row r="701" spans="3:15">
      <c r="C701" s="506" t="s">
        <v>83</v>
      </c>
      <c r="D701" s="503"/>
      <c r="E701" s="503">
        <f>SUM(E641:E700)</f>
        <v>21942391.430000003</v>
      </c>
      <c r="F701" s="503"/>
      <c r="G701" s="503">
        <f>SUM(G641:G700)</f>
        <v>79204327.248838753</v>
      </c>
      <c r="H701" s="503">
        <f>SUM(H641:H700)</f>
        <v>79204327.248838753</v>
      </c>
      <c r="I701" s="503">
        <f>SUM(I641:I700)</f>
        <v>0</v>
      </c>
      <c r="J701" s="503"/>
      <c r="K701" s="503"/>
      <c r="L701" s="503"/>
      <c r="M701" s="503"/>
      <c r="N701" s="503"/>
      <c r="O701" s="3"/>
    </row>
    <row r="702" spans="3:15">
      <c r="D702" s="47"/>
      <c r="E702" s="3"/>
      <c r="F702" s="3"/>
      <c r="G702" s="3"/>
      <c r="H702" s="490"/>
      <c r="I702" s="490"/>
      <c r="J702" s="503"/>
      <c r="K702" s="490"/>
      <c r="L702" s="490"/>
      <c r="M702" s="490"/>
      <c r="N702" s="490"/>
      <c r="O702" s="3"/>
    </row>
    <row r="703" spans="3:15">
      <c r="C703" s="3" t="s">
        <v>13</v>
      </c>
      <c r="D703" s="47"/>
      <c r="E703" s="3"/>
      <c r="F703" s="3"/>
      <c r="G703" s="3"/>
      <c r="H703" s="490"/>
      <c r="I703" s="490"/>
      <c r="J703" s="503"/>
      <c r="K703" s="490"/>
      <c r="L703" s="490"/>
      <c r="M703" s="490"/>
      <c r="N703" s="490"/>
      <c r="O703" s="3"/>
    </row>
    <row r="704" spans="3:15">
      <c r="C704" s="3"/>
      <c r="D704" s="47"/>
      <c r="E704" s="3"/>
      <c r="F704" s="3"/>
      <c r="G704" s="3"/>
      <c r="H704" s="490"/>
      <c r="I704" s="490"/>
      <c r="J704" s="503"/>
      <c r="K704" s="490"/>
      <c r="L704" s="490"/>
      <c r="M704" s="490"/>
      <c r="N704" s="490"/>
      <c r="O704" s="3"/>
    </row>
    <row r="705" spans="1:16">
      <c r="C705" s="518" t="s">
        <v>14</v>
      </c>
      <c r="D705" s="506"/>
      <c r="E705" s="506"/>
      <c r="F705" s="506"/>
      <c r="G705" s="503"/>
      <c r="H705" s="503"/>
      <c r="I705" s="564"/>
      <c r="J705" s="564"/>
      <c r="K705" s="564"/>
      <c r="L705" s="564"/>
      <c r="M705" s="564"/>
      <c r="N705" s="564"/>
      <c r="O705" s="3"/>
    </row>
    <row r="706" spans="1:16">
      <c r="C706" s="507" t="s">
        <v>263</v>
      </c>
      <c r="D706" s="506"/>
      <c r="E706" s="506"/>
      <c r="F706" s="506"/>
      <c r="G706" s="503"/>
      <c r="H706" s="503"/>
      <c r="I706" s="564"/>
      <c r="J706" s="564"/>
      <c r="K706" s="564"/>
      <c r="L706" s="564"/>
      <c r="M706" s="564"/>
      <c r="N706" s="564"/>
      <c r="O706" s="3"/>
    </row>
    <row r="707" spans="1:16">
      <c r="C707" s="507" t="s">
        <v>84</v>
      </c>
      <c r="D707" s="506"/>
      <c r="E707" s="506"/>
      <c r="F707" s="506"/>
      <c r="G707" s="503"/>
      <c r="H707" s="503"/>
      <c r="I707" s="564"/>
      <c r="J707" s="564"/>
      <c r="K707" s="564"/>
      <c r="L707" s="564"/>
      <c r="M707" s="564"/>
      <c r="N707" s="564"/>
      <c r="O707" s="3"/>
    </row>
    <row r="708" spans="1:16">
      <c r="C708" s="507"/>
      <c r="D708" s="506"/>
      <c r="E708" s="506"/>
      <c r="F708" s="506"/>
      <c r="G708" s="503"/>
      <c r="H708" s="503"/>
      <c r="I708" s="564"/>
      <c r="J708" s="564"/>
      <c r="K708" s="564"/>
      <c r="L708" s="564"/>
      <c r="M708" s="564"/>
      <c r="N708" s="564"/>
      <c r="O708" s="3"/>
    </row>
    <row r="709" spans="1:16">
      <c r="C709" s="1200" t="s">
        <v>6</v>
      </c>
      <c r="D709" s="1200"/>
      <c r="E709" s="1200"/>
      <c r="F709" s="1200"/>
      <c r="G709" s="1200"/>
      <c r="H709" s="1200"/>
      <c r="I709" s="1200"/>
      <c r="J709" s="1200"/>
      <c r="K709" s="1200"/>
      <c r="L709" s="1200"/>
      <c r="M709" s="1200"/>
      <c r="N709" s="1200"/>
      <c r="O709" s="1200"/>
    </row>
    <row r="710" spans="1:16">
      <c r="C710" s="1200"/>
      <c r="D710" s="1200"/>
      <c r="E710" s="1200"/>
      <c r="F710" s="1200"/>
      <c r="G710" s="1200"/>
      <c r="H710" s="1200"/>
      <c r="I710" s="1200"/>
      <c r="J710" s="1200"/>
      <c r="K710" s="1200"/>
      <c r="L710" s="1200"/>
      <c r="M710" s="1200"/>
      <c r="N710" s="1200"/>
      <c r="O710" s="1200"/>
    </row>
    <row r="711" spans="1:16">
      <c r="C711" s="507"/>
      <c r="D711" s="506"/>
      <c r="E711" s="506"/>
      <c r="F711" s="506"/>
      <c r="G711" s="503"/>
      <c r="H711" s="503"/>
    </row>
    <row r="712" spans="1:16" ht="20.25">
      <c r="A712" s="447" t="str">
        <f>""&amp;A636&amp;" Worksheet J -  ATRR PROJECTED Calculation for PJM Projects Charged to Benefiting Zones"</f>
        <v xml:space="preserve"> Worksheet J -  ATRR PROJECTED Calculation for PJM Projects Charged to Benefiting Zones</v>
      </c>
      <c r="B712" s="3"/>
      <c r="C712" s="3"/>
      <c r="D712" s="47"/>
      <c r="E712" s="3"/>
      <c r="F712" s="489"/>
      <c r="G712" s="3"/>
      <c r="H712" s="490"/>
      <c r="K712" s="398"/>
      <c r="L712" s="398"/>
      <c r="M712" s="398"/>
      <c r="N712" s="398" t="str">
        <f>"Page "&amp;SUM(P$8:P712)&amp;" of "</f>
        <v xml:space="preserve">Page 9 of </v>
      </c>
      <c r="O712" s="448">
        <f>COUNT(P$8:P$56653)</f>
        <v>23</v>
      </c>
      <c r="P712">
        <v>1</v>
      </c>
    </row>
    <row r="713" spans="1:16">
      <c r="B713" s="3"/>
      <c r="C713" s="3"/>
      <c r="D713" s="47"/>
      <c r="E713" s="3"/>
      <c r="F713" s="3"/>
      <c r="G713" s="3"/>
      <c r="H713" s="490"/>
      <c r="I713" s="3"/>
      <c r="J713" s="3"/>
      <c r="K713" s="3"/>
      <c r="L713" s="3"/>
      <c r="M713" s="3"/>
      <c r="N713" s="3"/>
      <c r="O713" s="3"/>
    </row>
    <row r="714" spans="1:16" ht="18">
      <c r="B714" s="449" t="s">
        <v>464</v>
      </c>
      <c r="C714" s="122" t="s">
        <v>85</v>
      </c>
      <c r="D714" s="47"/>
      <c r="E714" s="3"/>
      <c r="F714" s="3"/>
      <c r="G714" s="3"/>
      <c r="H714" s="490"/>
      <c r="I714" s="490"/>
      <c r="J714" s="503"/>
      <c r="K714" s="490"/>
      <c r="L714" s="490"/>
      <c r="M714" s="490"/>
      <c r="N714" s="490"/>
      <c r="O714" s="3"/>
    </row>
    <row r="715" spans="1:16" ht="18.75">
      <c r="B715" s="449"/>
      <c r="C715" s="6"/>
      <c r="D715" s="47"/>
      <c r="E715" s="3"/>
      <c r="F715" s="3"/>
      <c r="G715" s="3"/>
      <c r="H715" s="490"/>
      <c r="I715" s="490"/>
      <c r="J715" s="503"/>
      <c r="K715" s="490"/>
      <c r="L715" s="490"/>
      <c r="M715" s="490"/>
      <c r="N715" s="490"/>
      <c r="O715" s="3"/>
    </row>
    <row r="716" spans="1:16" ht="18.75">
      <c r="B716" s="449"/>
      <c r="C716" s="6" t="s">
        <v>86</v>
      </c>
      <c r="D716" s="47"/>
      <c r="E716" s="3"/>
      <c r="F716" s="3"/>
      <c r="G716" s="3"/>
      <c r="H716" s="490"/>
      <c r="I716" s="490"/>
      <c r="J716" s="503"/>
      <c r="K716" s="490"/>
      <c r="L716" s="490"/>
      <c r="M716" s="490"/>
      <c r="N716" s="490"/>
      <c r="O716" s="3"/>
    </row>
    <row r="717" spans="1:16" ht="15.75" thickBot="1">
      <c r="C717" s="131"/>
      <c r="D717" s="47"/>
      <c r="E717" s="3"/>
      <c r="F717" s="3"/>
      <c r="G717" s="3"/>
      <c r="H717" s="490"/>
      <c r="I717" s="490"/>
      <c r="J717" s="503"/>
      <c r="K717" s="490"/>
      <c r="L717" s="490"/>
      <c r="M717" s="490"/>
      <c r="N717" s="490"/>
      <c r="O717" s="3"/>
    </row>
    <row r="718" spans="1:16" ht="15.75">
      <c r="C718" s="451" t="s">
        <v>87</v>
      </c>
      <c r="D718" s="47"/>
      <c r="E718" s="3"/>
      <c r="F718" s="3"/>
      <c r="G718" s="566"/>
      <c r="H718" s="3" t="s">
        <v>66</v>
      </c>
      <c r="I718" s="3"/>
      <c r="J718" s="3"/>
      <c r="K718" s="509" t="s">
        <v>91</v>
      </c>
      <c r="L718" s="510"/>
      <c r="M718" s="511"/>
      <c r="N718" s="512">
        <f>IF(I724=0,0,VLOOKUP(I724,C731:O790,5))</f>
        <v>817939.16808876453</v>
      </c>
      <c r="O718" s="3"/>
    </row>
    <row r="719" spans="1:16" ht="15.75">
      <c r="C719" s="451"/>
      <c r="D719" s="47"/>
      <c r="E719" s="3"/>
      <c r="F719" s="3"/>
      <c r="G719" s="3"/>
      <c r="H719" s="513"/>
      <c r="I719" s="513"/>
      <c r="J719" s="514"/>
      <c r="K719" s="515" t="s">
        <v>92</v>
      </c>
      <c r="L719" s="516"/>
      <c r="M719" s="3"/>
      <c r="N719" s="517">
        <f>IF(I724=0,0,VLOOKUP(I724,C731:O790,6))</f>
        <v>817939.16808876453</v>
      </c>
      <c r="O719" s="3"/>
    </row>
    <row r="720" spans="1:16" ht="13.5" thickBot="1">
      <c r="C720" s="518" t="s">
        <v>88</v>
      </c>
      <c r="D720" s="1194" t="s">
        <v>809</v>
      </c>
      <c r="E720" s="1194"/>
      <c r="F720" s="1194"/>
      <c r="G720" s="1194"/>
      <c r="H720" s="1194"/>
      <c r="I720" s="1194"/>
      <c r="J720" s="503"/>
      <c r="K720" s="519" t="s">
        <v>230</v>
      </c>
      <c r="L720" s="520"/>
      <c r="M720" s="520"/>
      <c r="N720" s="521">
        <f>+N719-N718</f>
        <v>0</v>
      </c>
      <c r="O720" s="3"/>
    </row>
    <row r="721" spans="2:15">
      <c r="C721" s="522"/>
      <c r="D721" s="523"/>
      <c r="E721" s="506"/>
      <c r="F721" s="506"/>
      <c r="G721" s="524"/>
      <c r="H721" s="490"/>
      <c r="I721" s="490"/>
      <c r="J721" s="503"/>
      <c r="K721" s="490"/>
      <c r="L721" s="490"/>
      <c r="M721" s="490"/>
      <c r="N721" s="490"/>
      <c r="O721" s="3"/>
    </row>
    <row r="722" spans="2:15" ht="13.5" thickBot="1">
      <c r="C722" s="522"/>
      <c r="D722" s="3"/>
      <c r="E722" s="524"/>
      <c r="F722" s="524"/>
      <c r="G722" s="524"/>
      <c r="H722" s="524"/>
      <c r="I722" s="524"/>
      <c r="J722" s="524"/>
      <c r="K722" s="524"/>
      <c r="L722" s="524"/>
      <c r="M722" s="524"/>
      <c r="N722" s="524"/>
      <c r="O722" s="3"/>
    </row>
    <row r="723" spans="2:15" ht="13.5" thickBot="1">
      <c r="C723" s="525" t="s">
        <v>89</v>
      </c>
      <c r="D723" s="526"/>
      <c r="E723" s="526"/>
      <c r="F723" s="526"/>
      <c r="G723" s="526"/>
      <c r="H723" s="526"/>
      <c r="I723" s="527"/>
      <c r="K723" s="3"/>
      <c r="L723" s="3"/>
      <c r="M723" s="3"/>
      <c r="N723" s="3"/>
      <c r="O723" s="3"/>
    </row>
    <row r="724" spans="2:15" ht="15">
      <c r="C724" s="528" t="s">
        <v>67</v>
      </c>
      <c r="D724" s="568">
        <v>6422010.4699999997</v>
      </c>
      <c r="E724" s="3" t="s">
        <v>68</v>
      </c>
      <c r="G724" s="47"/>
      <c r="H724" s="47"/>
      <c r="I724" s="529">
        <f>$L$26</f>
        <v>2026</v>
      </c>
      <c r="J724" s="70"/>
      <c r="K724" s="1193" t="s">
        <v>239</v>
      </c>
      <c r="L724" s="1193"/>
      <c r="M724" s="1193"/>
      <c r="N724" s="1193"/>
      <c r="O724" s="1193"/>
    </row>
    <row r="725" spans="2:15">
      <c r="C725" s="528" t="s">
        <v>70</v>
      </c>
      <c r="D725" s="569">
        <v>2014</v>
      </c>
      <c r="E725" s="528" t="s">
        <v>71</v>
      </c>
      <c r="F725" s="47"/>
      <c r="H725"/>
      <c r="I725" s="570">
        <f>IF(G718="",0,$F$17)</f>
        <v>0</v>
      </c>
      <c r="J725" s="530"/>
      <c r="K725" s="503" t="s">
        <v>239</v>
      </c>
    </row>
    <row r="726" spans="2:15">
      <c r="C726" s="528" t="s">
        <v>72</v>
      </c>
      <c r="D726" s="568">
        <v>10</v>
      </c>
      <c r="E726" s="528" t="s">
        <v>73</v>
      </c>
      <c r="F726" s="47"/>
      <c r="H726"/>
      <c r="I726" s="531">
        <f>$G$70</f>
        <v>0.14912278949438812</v>
      </c>
      <c r="J726" s="489"/>
      <c r="K726" t="str">
        <f>"          INPUT PROJECTED ARR (WITH &amp; WITHOUT INCENTIVES) FROM EACH PRIOR YEAR"</f>
        <v xml:space="preserve">          INPUT PROJECTED ARR (WITH &amp; WITHOUT INCENTIVES) FROM EACH PRIOR YEAR</v>
      </c>
    </row>
    <row r="727" spans="2:15">
      <c r="C727" s="528" t="s">
        <v>74</v>
      </c>
      <c r="D727" s="532">
        <f>$G$79</f>
        <v>34</v>
      </c>
      <c r="E727" s="528" t="s">
        <v>75</v>
      </c>
      <c r="F727" s="47"/>
      <c r="H727"/>
      <c r="I727" s="531">
        <f>IF(G718="",I726,$G$69)</f>
        <v>0.14912278949438812</v>
      </c>
      <c r="J727" s="489"/>
      <c r="K727" t="s">
        <v>152</v>
      </c>
    </row>
    <row r="728" spans="2:15" ht="13.5" thickBot="1">
      <c r="C728" s="528" t="s">
        <v>76</v>
      </c>
      <c r="D728" s="567" t="s">
        <v>802</v>
      </c>
      <c r="E728" s="533" t="s">
        <v>77</v>
      </c>
      <c r="F728" s="534"/>
      <c r="G728" s="535"/>
      <c r="H728" s="535"/>
      <c r="I728" s="521">
        <f>IF(D724=0,0,D724/D727)</f>
        <v>188882.66088235294</v>
      </c>
      <c r="J728" s="503"/>
      <c r="K728" s="503" t="s">
        <v>158</v>
      </c>
      <c r="L728" s="503"/>
      <c r="M728" s="503"/>
      <c r="N728" s="503"/>
      <c r="O728" s="3"/>
    </row>
    <row r="729" spans="2:15" ht="38.25">
      <c r="B729" s="450"/>
      <c r="C729" s="536" t="s">
        <v>67</v>
      </c>
      <c r="D729" s="537" t="s">
        <v>78</v>
      </c>
      <c r="E729" s="538" t="s">
        <v>79</v>
      </c>
      <c r="F729" s="537" t="s">
        <v>80</v>
      </c>
      <c r="G729" s="538" t="s">
        <v>151</v>
      </c>
      <c r="H729" s="539" t="s">
        <v>151</v>
      </c>
      <c r="I729" s="536" t="s">
        <v>90</v>
      </c>
      <c r="J729" s="540"/>
      <c r="K729" s="538" t="s">
        <v>160</v>
      </c>
      <c r="L729" s="541"/>
      <c r="M729" s="538" t="s">
        <v>160</v>
      </c>
      <c r="N729" s="541"/>
      <c r="O729" s="541"/>
    </row>
    <row r="730" spans="2:15" ht="13.5" thickBot="1">
      <c r="C730" s="542" t="s">
        <v>467</v>
      </c>
      <c r="D730" s="543" t="s">
        <v>468</v>
      </c>
      <c r="E730" s="542" t="s">
        <v>361</v>
      </c>
      <c r="F730" s="543" t="s">
        <v>468</v>
      </c>
      <c r="G730" s="544" t="s">
        <v>93</v>
      </c>
      <c r="H730" s="545" t="s">
        <v>95</v>
      </c>
      <c r="I730" s="542" t="s">
        <v>15</v>
      </c>
      <c r="J730" s="546"/>
      <c r="K730" s="544" t="s">
        <v>82</v>
      </c>
      <c r="L730" s="547"/>
      <c r="M730" s="544" t="s">
        <v>95</v>
      </c>
      <c r="N730" s="547"/>
      <c r="O730" s="547"/>
    </row>
    <row r="731" spans="2:15">
      <c r="C731" s="548">
        <f>IF(D725= "","-",D725)</f>
        <v>2014</v>
      </c>
      <c r="D731" s="506">
        <f>+D724</f>
        <v>6422010.4699999997</v>
      </c>
      <c r="E731" s="549">
        <f>+I728/12*(12-D726)</f>
        <v>31480.443480392158</v>
      </c>
      <c r="F731" s="506">
        <f>+D731-E731</f>
        <v>6390530.0265196078</v>
      </c>
      <c r="G731" s="723">
        <f>+$I$96*((D731+F731)/2)+E731</f>
        <v>986801.33315580024</v>
      </c>
      <c r="H731" s="724">
        <f>$I$97*((D731+F731)/2)+E731</f>
        <v>986801.33315580024</v>
      </c>
      <c r="I731" s="552">
        <f>+H731-G731</f>
        <v>0</v>
      </c>
      <c r="J731" s="552"/>
      <c r="K731" s="571">
        <v>580874</v>
      </c>
      <c r="L731" s="553"/>
      <c r="M731" s="571">
        <v>580874</v>
      </c>
      <c r="N731" s="553"/>
      <c r="O731" s="553"/>
    </row>
    <row r="732" spans="2:15">
      <c r="C732" s="548">
        <f>IF(D725="","-",+C731+1)</f>
        <v>2015</v>
      </c>
      <c r="D732" s="506">
        <f t="shared" ref="D732:D790" si="42">F731</f>
        <v>6390530.0265196078</v>
      </c>
      <c r="E732" s="549">
        <f>IF(D732&gt;$I$728,$I$728,D732)</f>
        <v>188882.66088235294</v>
      </c>
      <c r="F732" s="506">
        <f t="shared" ref="F732:F790" si="43">+D732-E732</f>
        <v>6201647.3656372549</v>
      </c>
      <c r="G732" s="554">
        <f t="shared" ref="G732:G790" si="44">+$I$96*((D732+F732)/2)+E732</f>
        <v>1127772.9701456532</v>
      </c>
      <c r="H732" s="555">
        <f t="shared" ref="H732:H790" si="45">$I$97*((D732+F732)/2)+E732</f>
        <v>1127772.9701456532</v>
      </c>
      <c r="I732" s="552">
        <f t="shared" ref="I732:I790" si="46">+H732-G732</f>
        <v>0</v>
      </c>
      <c r="J732" s="552"/>
      <c r="K732" s="572">
        <v>774598</v>
      </c>
      <c r="L732" s="556"/>
      <c r="M732" s="572">
        <v>774598</v>
      </c>
      <c r="N732" s="556"/>
      <c r="O732" s="556"/>
    </row>
    <row r="733" spans="2:15">
      <c r="C733" s="548">
        <f>IF(D725="","-",+C732+1)</f>
        <v>2016</v>
      </c>
      <c r="D733" s="506">
        <f t="shared" si="42"/>
        <v>6201647.3656372549</v>
      </c>
      <c r="E733" s="549">
        <f t="shared" ref="E733:E790" si="47">IF(D733&gt;$I$728,$I$728,D733)</f>
        <v>188882.66088235294</v>
      </c>
      <c r="F733" s="506">
        <f t="shared" si="43"/>
        <v>6012764.704754902</v>
      </c>
      <c r="G733" s="554">
        <f t="shared" si="44"/>
        <v>1099606.2608677545</v>
      </c>
      <c r="H733" s="555">
        <f t="shared" si="45"/>
        <v>1099606.2608677545</v>
      </c>
      <c r="I733" s="552">
        <f t="shared" si="46"/>
        <v>0</v>
      </c>
      <c r="J733" s="552"/>
      <c r="K733" s="572">
        <v>868128</v>
      </c>
      <c r="L733" s="556"/>
      <c r="M733" s="572">
        <v>868128</v>
      </c>
      <c r="N733" s="556"/>
      <c r="O733" s="556"/>
    </row>
    <row r="734" spans="2:15">
      <c r="C734" s="548">
        <f>IF(D725="","-",+C733+1)</f>
        <v>2017</v>
      </c>
      <c r="D734" s="506">
        <f t="shared" si="42"/>
        <v>6012764.704754902</v>
      </c>
      <c r="E734" s="549">
        <f t="shared" si="47"/>
        <v>188882.66088235294</v>
      </c>
      <c r="F734" s="506">
        <f t="shared" si="43"/>
        <v>5823882.0438725492</v>
      </c>
      <c r="G734" s="554">
        <f t="shared" si="44"/>
        <v>1071439.5515898552</v>
      </c>
      <c r="H734" s="555">
        <f t="shared" si="45"/>
        <v>1071439.5515898552</v>
      </c>
      <c r="I734" s="552">
        <f t="shared" si="46"/>
        <v>0</v>
      </c>
      <c r="J734" s="552"/>
      <c r="K734" s="572">
        <v>1103628</v>
      </c>
      <c r="L734" s="556"/>
      <c r="M734" s="572">
        <v>1103628</v>
      </c>
      <c r="N734" s="556"/>
      <c r="O734" s="556"/>
    </row>
    <row r="735" spans="2:15">
      <c r="C735" s="974">
        <f>IF(D725="","-",+C734+1)</f>
        <v>2018</v>
      </c>
      <c r="D735" s="506">
        <f t="shared" si="42"/>
        <v>5823882.0438725492</v>
      </c>
      <c r="E735" s="549">
        <f t="shared" si="47"/>
        <v>188882.66088235294</v>
      </c>
      <c r="F735" s="506">
        <f t="shared" si="43"/>
        <v>5634999.3829901963</v>
      </c>
      <c r="G735" s="554">
        <f t="shared" si="44"/>
        <v>1043272.8423119566</v>
      </c>
      <c r="H735" s="555">
        <f t="shared" si="45"/>
        <v>1043272.8423119566</v>
      </c>
      <c r="I735" s="552">
        <f t="shared" si="46"/>
        <v>0</v>
      </c>
      <c r="J735" s="552"/>
      <c r="K735" s="572">
        <v>983699</v>
      </c>
      <c r="L735" s="556"/>
      <c r="M735" s="572">
        <v>983699</v>
      </c>
      <c r="N735" s="556"/>
      <c r="O735" s="556"/>
    </row>
    <row r="736" spans="2:15">
      <c r="C736" s="974">
        <f>IF(D725="","-",+C735+1)</f>
        <v>2019</v>
      </c>
      <c r="D736" s="506">
        <f t="shared" si="42"/>
        <v>5634999.3829901963</v>
      </c>
      <c r="E736" s="549">
        <f t="shared" si="47"/>
        <v>188882.66088235294</v>
      </c>
      <c r="F736" s="506">
        <f t="shared" si="43"/>
        <v>5446116.7221078435</v>
      </c>
      <c r="G736" s="554">
        <f t="shared" si="44"/>
        <v>1015106.1330340573</v>
      </c>
      <c r="H736" s="555">
        <f t="shared" si="45"/>
        <v>1015106.1330340573</v>
      </c>
      <c r="I736" s="552">
        <f t="shared" si="46"/>
        <v>0</v>
      </c>
      <c r="J736" s="552"/>
      <c r="K736" s="572">
        <v>1002122.8493654008</v>
      </c>
      <c r="L736" s="556"/>
      <c r="M736" s="572">
        <v>1002122.8493654008</v>
      </c>
      <c r="N736" s="556"/>
      <c r="O736" s="556"/>
    </row>
    <row r="737" spans="3:15">
      <c r="C737" s="974">
        <f>IF(D725="","-",+C736+1)</f>
        <v>2020</v>
      </c>
      <c r="D737" s="506">
        <f t="shared" si="42"/>
        <v>5446116.7221078435</v>
      </c>
      <c r="E737" s="549">
        <f t="shared" si="47"/>
        <v>188882.66088235294</v>
      </c>
      <c r="F737" s="506">
        <f t="shared" si="43"/>
        <v>5257234.0612254906</v>
      </c>
      <c r="G737" s="554">
        <f t="shared" si="44"/>
        <v>986939.42375615856</v>
      </c>
      <c r="H737" s="555">
        <f t="shared" si="45"/>
        <v>986939.42375615856</v>
      </c>
      <c r="I737" s="552">
        <f t="shared" si="46"/>
        <v>0</v>
      </c>
      <c r="J737" s="552"/>
      <c r="K737" s="572">
        <v>1049321.0263133117</v>
      </c>
      <c r="L737" s="556"/>
      <c r="M737" s="572">
        <v>1049321.0263133117</v>
      </c>
      <c r="N737" s="556"/>
      <c r="O737" s="556"/>
    </row>
    <row r="738" spans="3:15">
      <c r="C738" s="974">
        <f>IF(D725="","-",+C737+1)</f>
        <v>2021</v>
      </c>
      <c r="D738" s="506">
        <f t="shared" si="42"/>
        <v>5257234.0612254906</v>
      </c>
      <c r="E738" s="549">
        <f t="shared" si="47"/>
        <v>188882.66088235294</v>
      </c>
      <c r="F738" s="506">
        <f t="shared" si="43"/>
        <v>5068351.4003431378</v>
      </c>
      <c r="G738" s="554">
        <f t="shared" si="44"/>
        <v>958772.71447825932</v>
      </c>
      <c r="H738" s="555">
        <f t="shared" si="45"/>
        <v>958772.71447825932</v>
      </c>
      <c r="I738" s="552">
        <f t="shared" si="46"/>
        <v>0</v>
      </c>
      <c r="J738" s="552"/>
      <c r="K738" s="572">
        <v>946848.77806622989</v>
      </c>
      <c r="L738" s="556"/>
      <c r="M738" s="572">
        <v>946848.77806622989</v>
      </c>
      <c r="N738" s="556"/>
      <c r="O738" s="556"/>
    </row>
    <row r="739" spans="3:15">
      <c r="C739" s="974">
        <f>IF(D725="","-",+C738+1)</f>
        <v>2022</v>
      </c>
      <c r="D739" s="506">
        <f t="shared" si="42"/>
        <v>5068351.4003431378</v>
      </c>
      <c r="E739" s="549">
        <f t="shared" si="47"/>
        <v>188882.66088235294</v>
      </c>
      <c r="F739" s="506">
        <f t="shared" si="43"/>
        <v>4879468.7394607849</v>
      </c>
      <c r="G739" s="554">
        <f t="shared" si="44"/>
        <v>930606.00520036055</v>
      </c>
      <c r="H739" s="555">
        <f t="shared" si="45"/>
        <v>930606.00520036055</v>
      </c>
      <c r="I739" s="552">
        <f t="shared" si="46"/>
        <v>0</v>
      </c>
      <c r="J739" s="552"/>
      <c r="K739" s="572">
        <v>945075.89241478767</v>
      </c>
      <c r="L739" s="556"/>
      <c r="M739" s="572">
        <v>945075.89241478767</v>
      </c>
      <c r="N739" s="556"/>
      <c r="O739" s="556"/>
    </row>
    <row r="740" spans="3:15">
      <c r="C740" s="974">
        <f>IF(D725="","-",+C739+1)</f>
        <v>2023</v>
      </c>
      <c r="D740" s="506">
        <f t="shared" si="42"/>
        <v>4879468.7394607849</v>
      </c>
      <c r="E740" s="549">
        <f t="shared" si="47"/>
        <v>188882.66088235294</v>
      </c>
      <c r="F740" s="506">
        <f t="shared" si="43"/>
        <v>4690586.0785784321</v>
      </c>
      <c r="G740" s="554">
        <f t="shared" si="44"/>
        <v>902439.29592246143</v>
      </c>
      <c r="H740" s="555">
        <f t="shared" si="45"/>
        <v>902439.29592246143</v>
      </c>
      <c r="I740" s="552">
        <f t="shared" si="46"/>
        <v>0</v>
      </c>
      <c r="J740" s="552"/>
      <c r="K740" s="572">
        <v>920682.15859205346</v>
      </c>
      <c r="L740" s="556"/>
      <c r="M740" s="572">
        <v>920682.15859205346</v>
      </c>
      <c r="N740" s="556"/>
      <c r="O740" s="556"/>
    </row>
    <row r="741" spans="3:15">
      <c r="C741" s="548">
        <f>IF(D725="","-",+C740+1)</f>
        <v>2024</v>
      </c>
      <c r="D741" s="506">
        <f t="shared" si="42"/>
        <v>4690586.0785784321</v>
      </c>
      <c r="E741" s="549">
        <f t="shared" si="47"/>
        <v>188882.66088235294</v>
      </c>
      <c r="F741" s="506">
        <f t="shared" si="43"/>
        <v>4501703.4176960792</v>
      </c>
      <c r="G741" s="554">
        <f t="shared" si="44"/>
        <v>874272.58664456254</v>
      </c>
      <c r="H741" s="555">
        <f t="shared" si="45"/>
        <v>874272.58664456254</v>
      </c>
      <c r="I741" s="552">
        <f t="shared" si="46"/>
        <v>0</v>
      </c>
      <c r="J741" s="552"/>
      <c r="K741" s="572">
        <v>879121.84237051418</v>
      </c>
      <c r="L741" s="556"/>
      <c r="M741" s="572">
        <v>879121.84237051418</v>
      </c>
      <c r="N741" s="556"/>
      <c r="O741" s="556"/>
    </row>
    <row r="742" spans="3:15">
      <c r="C742" s="548">
        <f>IF(D725="","-",+C741+1)</f>
        <v>2025</v>
      </c>
      <c r="D742" s="506">
        <f t="shared" si="42"/>
        <v>4501703.4176960792</v>
      </c>
      <c r="E742" s="549">
        <f t="shared" si="47"/>
        <v>188882.66088235294</v>
      </c>
      <c r="F742" s="506">
        <f t="shared" si="43"/>
        <v>4312820.7568137264</v>
      </c>
      <c r="G742" s="554">
        <f t="shared" si="44"/>
        <v>846105.87736666342</v>
      </c>
      <c r="H742" s="555">
        <f t="shared" si="45"/>
        <v>846105.87736666342</v>
      </c>
      <c r="I742" s="552">
        <f t="shared" si="46"/>
        <v>0</v>
      </c>
      <c r="J742" s="552"/>
      <c r="K742" s="572">
        <v>849140.66911226173</v>
      </c>
      <c r="L742" s="556"/>
      <c r="M742" s="572">
        <v>849140.66911226173</v>
      </c>
      <c r="N742" s="556"/>
      <c r="O742" s="556"/>
    </row>
    <row r="743" spans="3:15">
      <c r="C743" s="955">
        <f>IF(D725="","-",+C742+1)</f>
        <v>2026</v>
      </c>
      <c r="D743" s="506">
        <f t="shared" si="42"/>
        <v>4312820.7568137264</v>
      </c>
      <c r="E743" s="549">
        <f t="shared" si="47"/>
        <v>188882.66088235294</v>
      </c>
      <c r="F743" s="506">
        <f t="shared" si="43"/>
        <v>4123938.0959313735</v>
      </c>
      <c r="G743" s="554">
        <f t="shared" si="44"/>
        <v>817939.16808876453</v>
      </c>
      <c r="H743" s="555">
        <f t="shared" si="45"/>
        <v>817939.16808876453</v>
      </c>
      <c r="I743" s="552">
        <f t="shared" si="46"/>
        <v>0</v>
      </c>
      <c r="J743" s="552"/>
      <c r="K743" s="572"/>
      <c r="L743" s="556"/>
      <c r="M743" s="572"/>
      <c r="N743" s="557"/>
      <c r="O743" s="556"/>
    </row>
    <row r="744" spans="3:15">
      <c r="C744" s="548">
        <f>IF(D725="","-",+C743+1)</f>
        <v>2027</v>
      </c>
      <c r="D744" s="506">
        <f t="shared" si="42"/>
        <v>4123938.0959313735</v>
      </c>
      <c r="E744" s="549">
        <f t="shared" si="47"/>
        <v>188882.66088235294</v>
      </c>
      <c r="F744" s="506">
        <f t="shared" si="43"/>
        <v>3935055.4350490207</v>
      </c>
      <c r="G744" s="554">
        <f t="shared" si="44"/>
        <v>789772.45881086541</v>
      </c>
      <c r="H744" s="555">
        <f t="shared" si="45"/>
        <v>789772.45881086541</v>
      </c>
      <c r="I744" s="552">
        <f t="shared" si="46"/>
        <v>0</v>
      </c>
      <c r="J744" s="552"/>
      <c r="K744" s="572"/>
      <c r="L744" s="556"/>
      <c r="M744" s="572"/>
      <c r="N744" s="556"/>
      <c r="O744" s="556"/>
    </row>
    <row r="745" spans="3:15">
      <c r="C745" s="548">
        <f>IF(D725="","-",+C744+1)</f>
        <v>2028</v>
      </c>
      <c r="D745" s="506">
        <f t="shared" si="42"/>
        <v>3935055.4350490207</v>
      </c>
      <c r="E745" s="549">
        <f t="shared" si="47"/>
        <v>188882.66088235294</v>
      </c>
      <c r="F745" s="506">
        <f t="shared" si="43"/>
        <v>3746172.7741666678</v>
      </c>
      <c r="G745" s="554">
        <f t="shared" si="44"/>
        <v>761605.74953296641</v>
      </c>
      <c r="H745" s="555">
        <f t="shared" si="45"/>
        <v>761605.74953296641</v>
      </c>
      <c r="I745" s="552">
        <f t="shared" si="46"/>
        <v>0</v>
      </c>
      <c r="J745" s="552"/>
      <c r="K745" s="572"/>
      <c r="L745" s="556"/>
      <c r="M745" s="572"/>
      <c r="N745" s="556"/>
      <c r="O745" s="556"/>
    </row>
    <row r="746" spans="3:15">
      <c r="C746" s="548">
        <f>IF(D725="","-",+C745+1)</f>
        <v>2029</v>
      </c>
      <c r="D746" s="506">
        <f t="shared" si="42"/>
        <v>3746172.7741666678</v>
      </c>
      <c r="E746" s="549">
        <f t="shared" si="47"/>
        <v>188882.66088235294</v>
      </c>
      <c r="F746" s="506">
        <f t="shared" si="43"/>
        <v>3557290.113284315</v>
      </c>
      <c r="G746" s="554">
        <f t="shared" si="44"/>
        <v>733439.0402550674</v>
      </c>
      <c r="H746" s="555">
        <f t="shared" si="45"/>
        <v>733439.0402550674</v>
      </c>
      <c r="I746" s="552">
        <f t="shared" si="46"/>
        <v>0</v>
      </c>
      <c r="J746" s="552"/>
      <c r="K746" s="572"/>
      <c r="L746" s="556"/>
      <c r="M746" s="572"/>
      <c r="N746" s="556"/>
      <c r="O746" s="556"/>
    </row>
    <row r="747" spans="3:15">
      <c r="C747" s="548">
        <f>IF(D725="","-",+C746+1)</f>
        <v>2030</v>
      </c>
      <c r="D747" s="506">
        <f t="shared" si="42"/>
        <v>3557290.113284315</v>
      </c>
      <c r="E747" s="549">
        <f t="shared" si="47"/>
        <v>188882.66088235294</v>
      </c>
      <c r="F747" s="506">
        <f t="shared" si="43"/>
        <v>3368407.4524019621</v>
      </c>
      <c r="G747" s="554">
        <f t="shared" si="44"/>
        <v>705272.3309771684</v>
      </c>
      <c r="H747" s="555">
        <f t="shared" si="45"/>
        <v>705272.3309771684</v>
      </c>
      <c r="I747" s="552">
        <f t="shared" si="46"/>
        <v>0</v>
      </c>
      <c r="J747" s="552"/>
      <c r="K747" s="572"/>
      <c r="L747" s="556"/>
      <c r="M747" s="572"/>
      <c r="N747" s="556"/>
      <c r="O747" s="556"/>
    </row>
    <row r="748" spans="3:15">
      <c r="C748" s="548">
        <f>IF(D725="","-",+C747+1)</f>
        <v>2031</v>
      </c>
      <c r="D748" s="506">
        <f t="shared" si="42"/>
        <v>3368407.4524019621</v>
      </c>
      <c r="E748" s="549">
        <f t="shared" si="47"/>
        <v>188882.66088235294</v>
      </c>
      <c r="F748" s="506">
        <f t="shared" si="43"/>
        <v>3179524.7915196093</v>
      </c>
      <c r="G748" s="554">
        <f t="shared" si="44"/>
        <v>677105.6216992694</v>
      </c>
      <c r="H748" s="555">
        <f t="shared" si="45"/>
        <v>677105.6216992694</v>
      </c>
      <c r="I748" s="552">
        <f t="shared" si="46"/>
        <v>0</v>
      </c>
      <c r="J748" s="552"/>
      <c r="K748" s="572"/>
      <c r="L748" s="556"/>
      <c r="M748" s="572"/>
      <c r="N748" s="556"/>
      <c r="O748" s="556"/>
    </row>
    <row r="749" spans="3:15">
      <c r="C749" s="548">
        <f>IF(D725="","-",+C748+1)</f>
        <v>2032</v>
      </c>
      <c r="D749" s="506">
        <f t="shared" si="42"/>
        <v>3179524.7915196093</v>
      </c>
      <c r="E749" s="549">
        <f t="shared" si="47"/>
        <v>188882.66088235294</v>
      </c>
      <c r="F749" s="506">
        <f t="shared" si="43"/>
        <v>2990642.1306372564</v>
      </c>
      <c r="G749" s="554">
        <f t="shared" si="44"/>
        <v>648938.91242137039</v>
      </c>
      <c r="H749" s="555">
        <f t="shared" si="45"/>
        <v>648938.91242137039</v>
      </c>
      <c r="I749" s="552">
        <f t="shared" si="46"/>
        <v>0</v>
      </c>
      <c r="J749" s="552"/>
      <c r="K749" s="572"/>
      <c r="L749" s="556"/>
      <c r="M749" s="572"/>
      <c r="N749" s="556"/>
      <c r="O749" s="556"/>
    </row>
    <row r="750" spans="3:15">
      <c r="C750" s="548">
        <f>IF(D725="","-",+C749+1)</f>
        <v>2033</v>
      </c>
      <c r="D750" s="506">
        <f t="shared" si="42"/>
        <v>2990642.1306372564</v>
      </c>
      <c r="E750" s="549">
        <f t="shared" si="47"/>
        <v>188882.66088235294</v>
      </c>
      <c r="F750" s="506">
        <f t="shared" si="43"/>
        <v>2801759.4697549036</v>
      </c>
      <c r="G750" s="554">
        <f t="shared" si="44"/>
        <v>620772.20314347139</v>
      </c>
      <c r="H750" s="555">
        <f t="shared" si="45"/>
        <v>620772.20314347139</v>
      </c>
      <c r="I750" s="552">
        <f t="shared" si="46"/>
        <v>0</v>
      </c>
      <c r="J750" s="552"/>
      <c r="K750" s="572"/>
      <c r="L750" s="556"/>
      <c r="M750" s="572"/>
      <c r="N750" s="556"/>
      <c r="O750" s="556"/>
    </row>
    <row r="751" spans="3:15">
      <c r="C751" s="548">
        <f>IF(D725="","-",+C750+1)</f>
        <v>2034</v>
      </c>
      <c r="D751" s="506">
        <f t="shared" si="42"/>
        <v>2801759.4697549036</v>
      </c>
      <c r="E751" s="549">
        <f t="shared" si="47"/>
        <v>188882.66088235294</v>
      </c>
      <c r="F751" s="506">
        <f t="shared" si="43"/>
        <v>2612876.8088725507</v>
      </c>
      <c r="G751" s="554">
        <f t="shared" si="44"/>
        <v>592605.49386557238</v>
      </c>
      <c r="H751" s="555">
        <f t="shared" si="45"/>
        <v>592605.49386557238</v>
      </c>
      <c r="I751" s="552">
        <f t="shared" si="46"/>
        <v>0</v>
      </c>
      <c r="J751" s="552"/>
      <c r="K751" s="572"/>
      <c r="L751" s="556"/>
      <c r="M751" s="572"/>
      <c r="N751" s="556"/>
      <c r="O751" s="556"/>
    </row>
    <row r="752" spans="3:15">
      <c r="C752" s="548">
        <f>IF(D725="","-",+C751+1)</f>
        <v>2035</v>
      </c>
      <c r="D752" s="506">
        <f t="shared" si="42"/>
        <v>2612876.8088725507</v>
      </c>
      <c r="E752" s="549">
        <f t="shared" si="47"/>
        <v>188882.66088235294</v>
      </c>
      <c r="F752" s="506">
        <f t="shared" si="43"/>
        <v>2423994.1479901979</v>
      </c>
      <c r="G752" s="554">
        <f t="shared" si="44"/>
        <v>564438.78458767338</v>
      </c>
      <c r="H752" s="555">
        <f t="shared" si="45"/>
        <v>564438.78458767338</v>
      </c>
      <c r="I752" s="552">
        <f t="shared" si="46"/>
        <v>0</v>
      </c>
      <c r="J752" s="552"/>
      <c r="K752" s="572"/>
      <c r="L752" s="556"/>
      <c r="M752" s="572"/>
      <c r="N752" s="556"/>
      <c r="O752" s="556"/>
    </row>
    <row r="753" spans="3:15">
      <c r="C753" s="548">
        <f>IF(D725="","-",+C752+1)</f>
        <v>2036</v>
      </c>
      <c r="D753" s="506">
        <f t="shared" si="42"/>
        <v>2423994.1479901979</v>
      </c>
      <c r="E753" s="549">
        <f t="shared" si="47"/>
        <v>188882.66088235294</v>
      </c>
      <c r="F753" s="506">
        <f t="shared" si="43"/>
        <v>2235111.487107845</v>
      </c>
      <c r="G753" s="554">
        <f t="shared" si="44"/>
        <v>536272.07530977437</v>
      </c>
      <c r="H753" s="555">
        <f t="shared" si="45"/>
        <v>536272.07530977437</v>
      </c>
      <c r="I753" s="552">
        <f t="shared" si="46"/>
        <v>0</v>
      </c>
      <c r="J753" s="552"/>
      <c r="K753" s="572"/>
      <c r="L753" s="556"/>
      <c r="M753" s="572"/>
      <c r="N753" s="556"/>
      <c r="O753" s="556"/>
    </row>
    <row r="754" spans="3:15">
      <c r="C754" s="548">
        <f>IF(D725="","-",+C753+1)</f>
        <v>2037</v>
      </c>
      <c r="D754" s="506">
        <f t="shared" si="42"/>
        <v>2235111.487107845</v>
      </c>
      <c r="E754" s="549">
        <f t="shared" si="47"/>
        <v>188882.66088235294</v>
      </c>
      <c r="F754" s="506">
        <f t="shared" si="43"/>
        <v>2046228.8262254922</v>
      </c>
      <c r="G754" s="554">
        <f t="shared" si="44"/>
        <v>508105.36603187537</v>
      </c>
      <c r="H754" s="555">
        <f t="shared" si="45"/>
        <v>508105.36603187537</v>
      </c>
      <c r="I754" s="552">
        <f t="shared" si="46"/>
        <v>0</v>
      </c>
      <c r="J754" s="552"/>
      <c r="K754" s="572"/>
      <c r="L754" s="556"/>
      <c r="M754" s="572"/>
      <c r="N754" s="556"/>
      <c r="O754" s="556"/>
    </row>
    <row r="755" spans="3:15">
      <c r="C755" s="548">
        <f>IF(D725="","-",+C754+1)</f>
        <v>2038</v>
      </c>
      <c r="D755" s="506">
        <f t="shared" si="42"/>
        <v>2046228.8262254922</v>
      </c>
      <c r="E755" s="549">
        <f t="shared" si="47"/>
        <v>188882.66088235294</v>
      </c>
      <c r="F755" s="506">
        <f t="shared" si="43"/>
        <v>1857346.1653431393</v>
      </c>
      <c r="G755" s="554">
        <f t="shared" si="44"/>
        <v>479938.65675397636</v>
      </c>
      <c r="H755" s="555">
        <f t="shared" si="45"/>
        <v>479938.65675397636</v>
      </c>
      <c r="I755" s="552">
        <f t="shared" si="46"/>
        <v>0</v>
      </c>
      <c r="J755" s="552"/>
      <c r="K755" s="572"/>
      <c r="L755" s="556"/>
      <c r="M755" s="572"/>
      <c r="N755" s="556"/>
      <c r="O755" s="556"/>
    </row>
    <row r="756" spans="3:15">
      <c r="C756" s="548">
        <f>IF(D725="","-",+C755+1)</f>
        <v>2039</v>
      </c>
      <c r="D756" s="506">
        <f t="shared" si="42"/>
        <v>1857346.1653431393</v>
      </c>
      <c r="E756" s="549">
        <f t="shared" si="47"/>
        <v>188882.66088235294</v>
      </c>
      <c r="F756" s="506">
        <f t="shared" si="43"/>
        <v>1668463.5044607865</v>
      </c>
      <c r="G756" s="554">
        <f t="shared" si="44"/>
        <v>451771.94747607736</v>
      </c>
      <c r="H756" s="555">
        <f t="shared" si="45"/>
        <v>451771.94747607736</v>
      </c>
      <c r="I756" s="552">
        <f t="shared" si="46"/>
        <v>0</v>
      </c>
      <c r="J756" s="552"/>
      <c r="K756" s="572"/>
      <c r="L756" s="556"/>
      <c r="M756" s="572"/>
      <c r="N756" s="556"/>
      <c r="O756" s="556"/>
    </row>
    <row r="757" spans="3:15">
      <c r="C757" s="548">
        <f>IF(D725="","-",+C756+1)</f>
        <v>2040</v>
      </c>
      <c r="D757" s="506">
        <f t="shared" si="42"/>
        <v>1668463.5044607865</v>
      </c>
      <c r="E757" s="549">
        <f t="shared" si="47"/>
        <v>188882.66088235294</v>
      </c>
      <c r="F757" s="506">
        <f t="shared" si="43"/>
        <v>1479580.8435784336</v>
      </c>
      <c r="G757" s="554">
        <f t="shared" si="44"/>
        <v>423605.23819817835</v>
      </c>
      <c r="H757" s="555">
        <f t="shared" si="45"/>
        <v>423605.23819817835</v>
      </c>
      <c r="I757" s="552">
        <f t="shared" si="46"/>
        <v>0</v>
      </c>
      <c r="J757" s="552"/>
      <c r="K757" s="572"/>
      <c r="L757" s="556"/>
      <c r="M757" s="572"/>
      <c r="N757" s="556"/>
      <c r="O757" s="556"/>
    </row>
    <row r="758" spans="3:15">
      <c r="C758" s="548">
        <f>IF(D725="","-",+C757+1)</f>
        <v>2041</v>
      </c>
      <c r="D758" s="506">
        <f t="shared" si="42"/>
        <v>1479580.8435784336</v>
      </c>
      <c r="E758" s="549">
        <f t="shared" si="47"/>
        <v>188882.66088235294</v>
      </c>
      <c r="F758" s="506">
        <f t="shared" si="43"/>
        <v>1290698.1826960808</v>
      </c>
      <c r="G758" s="554">
        <f t="shared" si="44"/>
        <v>395438.52892027935</v>
      </c>
      <c r="H758" s="555">
        <f t="shared" si="45"/>
        <v>395438.52892027935</v>
      </c>
      <c r="I758" s="552">
        <f t="shared" si="46"/>
        <v>0</v>
      </c>
      <c r="J758" s="552"/>
      <c r="K758" s="572"/>
      <c r="L758" s="556"/>
      <c r="M758" s="572"/>
      <c r="N758" s="556"/>
      <c r="O758" s="556"/>
    </row>
    <row r="759" spans="3:15">
      <c r="C759" s="548">
        <f>IF(D725="","-",+C758+1)</f>
        <v>2042</v>
      </c>
      <c r="D759" s="506">
        <f t="shared" si="42"/>
        <v>1290698.1826960808</v>
      </c>
      <c r="E759" s="549">
        <f t="shared" si="47"/>
        <v>188882.66088235294</v>
      </c>
      <c r="F759" s="506">
        <f t="shared" si="43"/>
        <v>1101815.5218137279</v>
      </c>
      <c r="G759" s="550">
        <f t="shared" si="44"/>
        <v>367271.81964238035</v>
      </c>
      <c r="H759" s="555">
        <f t="shared" si="45"/>
        <v>367271.81964238035</v>
      </c>
      <c r="I759" s="552">
        <f t="shared" si="46"/>
        <v>0</v>
      </c>
      <c r="J759" s="552"/>
      <c r="K759" s="572"/>
      <c r="L759" s="556"/>
      <c r="M759" s="572"/>
      <c r="N759" s="556"/>
      <c r="O759" s="556"/>
    </row>
    <row r="760" spans="3:15">
      <c r="C760" s="548">
        <f>IF(D725="","-",+C759+1)</f>
        <v>2043</v>
      </c>
      <c r="D760" s="506">
        <f t="shared" si="42"/>
        <v>1101815.5218137279</v>
      </c>
      <c r="E760" s="549">
        <f t="shared" si="47"/>
        <v>188882.66088235294</v>
      </c>
      <c r="F760" s="506">
        <f t="shared" si="43"/>
        <v>912932.86093137495</v>
      </c>
      <c r="G760" s="554">
        <f t="shared" si="44"/>
        <v>339105.1103644814</v>
      </c>
      <c r="H760" s="555">
        <f t="shared" si="45"/>
        <v>339105.1103644814</v>
      </c>
      <c r="I760" s="552">
        <f t="shared" si="46"/>
        <v>0</v>
      </c>
      <c r="J760" s="552"/>
      <c r="K760" s="572"/>
      <c r="L760" s="556"/>
      <c r="M760" s="572"/>
      <c r="N760" s="556"/>
      <c r="O760" s="556"/>
    </row>
    <row r="761" spans="3:15">
      <c r="C761" s="548">
        <f>IF(D725="","-",+C760+1)</f>
        <v>2044</v>
      </c>
      <c r="D761" s="506">
        <f t="shared" si="42"/>
        <v>912932.86093137495</v>
      </c>
      <c r="E761" s="549">
        <f t="shared" si="47"/>
        <v>188882.66088235294</v>
      </c>
      <c r="F761" s="506">
        <f t="shared" si="43"/>
        <v>724050.20004902198</v>
      </c>
      <c r="G761" s="554">
        <f t="shared" si="44"/>
        <v>310938.40108658234</v>
      </c>
      <c r="H761" s="555">
        <f t="shared" si="45"/>
        <v>310938.40108658234</v>
      </c>
      <c r="I761" s="552">
        <f t="shared" si="46"/>
        <v>0</v>
      </c>
      <c r="J761" s="552"/>
      <c r="K761" s="572"/>
      <c r="L761" s="556"/>
      <c r="M761" s="572"/>
      <c r="N761" s="556"/>
      <c r="O761" s="556"/>
    </row>
    <row r="762" spans="3:15">
      <c r="C762" s="548">
        <f>IF(D725="","-",+C761+1)</f>
        <v>2045</v>
      </c>
      <c r="D762" s="506">
        <f t="shared" si="42"/>
        <v>724050.20004902198</v>
      </c>
      <c r="E762" s="549">
        <f t="shared" si="47"/>
        <v>188882.66088235294</v>
      </c>
      <c r="F762" s="506">
        <f t="shared" si="43"/>
        <v>535167.53916666901</v>
      </c>
      <c r="G762" s="554">
        <f t="shared" si="44"/>
        <v>282771.69180868333</v>
      </c>
      <c r="H762" s="555">
        <f t="shared" si="45"/>
        <v>282771.69180868333</v>
      </c>
      <c r="I762" s="552">
        <f t="shared" si="46"/>
        <v>0</v>
      </c>
      <c r="J762" s="552"/>
      <c r="K762" s="572"/>
      <c r="L762" s="556"/>
      <c r="M762" s="572"/>
      <c r="N762" s="556"/>
      <c r="O762" s="556"/>
    </row>
    <row r="763" spans="3:15">
      <c r="C763" s="548">
        <f>IF(D725="","-",+C762+1)</f>
        <v>2046</v>
      </c>
      <c r="D763" s="506">
        <f t="shared" si="42"/>
        <v>535167.53916666901</v>
      </c>
      <c r="E763" s="549">
        <f t="shared" si="47"/>
        <v>188882.66088235294</v>
      </c>
      <c r="F763" s="506">
        <f t="shared" si="43"/>
        <v>346284.87828431604</v>
      </c>
      <c r="G763" s="554">
        <f t="shared" si="44"/>
        <v>254604.98253078433</v>
      </c>
      <c r="H763" s="555">
        <f t="shared" si="45"/>
        <v>254604.98253078433</v>
      </c>
      <c r="I763" s="552">
        <f t="shared" si="46"/>
        <v>0</v>
      </c>
      <c r="J763" s="552"/>
      <c r="K763" s="572"/>
      <c r="L763" s="556"/>
      <c r="M763" s="572"/>
      <c r="N763" s="556"/>
      <c r="O763" s="556"/>
    </row>
    <row r="764" spans="3:15">
      <c r="C764" s="548">
        <f>IF(D725="","-",+C763+1)</f>
        <v>2047</v>
      </c>
      <c r="D764" s="506">
        <f t="shared" si="42"/>
        <v>346284.87828431604</v>
      </c>
      <c r="E764" s="549">
        <f t="shared" si="47"/>
        <v>188882.66088235294</v>
      </c>
      <c r="F764" s="506">
        <f t="shared" si="43"/>
        <v>157402.21740196311</v>
      </c>
      <c r="G764" s="554">
        <f t="shared" si="44"/>
        <v>226438.27325288529</v>
      </c>
      <c r="H764" s="555">
        <f t="shared" si="45"/>
        <v>226438.27325288529</v>
      </c>
      <c r="I764" s="552">
        <f t="shared" si="46"/>
        <v>0</v>
      </c>
      <c r="J764" s="552"/>
      <c r="K764" s="572"/>
      <c r="L764" s="556"/>
      <c r="M764" s="572"/>
      <c r="N764" s="556"/>
      <c r="O764" s="556"/>
    </row>
    <row r="765" spans="3:15">
      <c r="C765" s="548">
        <f>IF(D725="","-",+C764+1)</f>
        <v>2048</v>
      </c>
      <c r="D765" s="506">
        <f t="shared" si="42"/>
        <v>157402.21740196311</v>
      </c>
      <c r="E765" s="549">
        <f t="shared" si="47"/>
        <v>157402.21740196311</v>
      </c>
      <c r="F765" s="506">
        <f t="shared" si="43"/>
        <v>0</v>
      </c>
      <c r="G765" s="554">
        <f t="shared" si="44"/>
        <v>169138.34626775453</v>
      </c>
      <c r="H765" s="555">
        <f t="shared" si="45"/>
        <v>169138.34626775453</v>
      </c>
      <c r="I765" s="552">
        <f t="shared" si="46"/>
        <v>0</v>
      </c>
      <c r="J765" s="552"/>
      <c r="K765" s="572"/>
      <c r="L765" s="556"/>
      <c r="M765" s="572"/>
      <c r="N765" s="556"/>
      <c r="O765" s="556"/>
    </row>
    <row r="766" spans="3:15">
      <c r="C766" s="548">
        <f>IF(D725="","-",+C765+1)</f>
        <v>2049</v>
      </c>
      <c r="D766" s="506">
        <f t="shared" si="42"/>
        <v>0</v>
      </c>
      <c r="E766" s="549">
        <f t="shared" si="47"/>
        <v>0</v>
      </c>
      <c r="F766" s="506">
        <f t="shared" si="43"/>
        <v>0</v>
      </c>
      <c r="G766" s="554">
        <f t="shared" si="44"/>
        <v>0</v>
      </c>
      <c r="H766" s="555">
        <f t="shared" si="45"/>
        <v>0</v>
      </c>
      <c r="I766" s="552">
        <f t="shared" si="46"/>
        <v>0</v>
      </c>
      <c r="J766" s="552"/>
      <c r="K766" s="572"/>
      <c r="L766" s="556"/>
      <c r="M766" s="572"/>
      <c r="N766" s="556"/>
      <c r="O766" s="556"/>
    </row>
    <row r="767" spans="3:15">
      <c r="C767" s="548">
        <f>IF(D725="","-",+C766+1)</f>
        <v>2050</v>
      </c>
      <c r="D767" s="506">
        <f t="shared" si="42"/>
        <v>0</v>
      </c>
      <c r="E767" s="549">
        <f t="shared" si="47"/>
        <v>0</v>
      </c>
      <c r="F767" s="506">
        <f t="shared" si="43"/>
        <v>0</v>
      </c>
      <c r="G767" s="554">
        <f t="shared" si="44"/>
        <v>0</v>
      </c>
      <c r="H767" s="555">
        <f t="shared" si="45"/>
        <v>0</v>
      </c>
      <c r="I767" s="552">
        <f t="shared" si="46"/>
        <v>0</v>
      </c>
      <c r="J767" s="552"/>
      <c r="K767" s="572"/>
      <c r="L767" s="556"/>
      <c r="M767" s="572"/>
      <c r="N767" s="556"/>
      <c r="O767" s="556"/>
    </row>
    <row r="768" spans="3:15">
      <c r="C768" s="548">
        <f>IF(D725="","-",+C767+1)</f>
        <v>2051</v>
      </c>
      <c r="D768" s="506">
        <f t="shared" si="42"/>
        <v>0</v>
      </c>
      <c r="E768" s="549">
        <f t="shared" si="47"/>
        <v>0</v>
      </c>
      <c r="F768" s="506">
        <f t="shared" si="43"/>
        <v>0</v>
      </c>
      <c r="G768" s="554">
        <f t="shared" si="44"/>
        <v>0</v>
      </c>
      <c r="H768" s="555">
        <f t="shared" si="45"/>
        <v>0</v>
      </c>
      <c r="I768" s="552">
        <f t="shared" si="46"/>
        <v>0</v>
      </c>
      <c r="J768" s="552"/>
      <c r="K768" s="572"/>
      <c r="L768" s="556"/>
      <c r="M768" s="572"/>
      <c r="N768" s="556"/>
      <c r="O768" s="556"/>
    </row>
    <row r="769" spans="3:15">
      <c r="C769" s="548">
        <f>IF(D725="","-",+C768+1)</f>
        <v>2052</v>
      </c>
      <c r="D769" s="506">
        <f t="shared" si="42"/>
        <v>0</v>
      </c>
      <c r="E769" s="549">
        <f t="shared" si="47"/>
        <v>0</v>
      </c>
      <c r="F769" s="506">
        <f t="shared" si="43"/>
        <v>0</v>
      </c>
      <c r="G769" s="554">
        <f t="shared" si="44"/>
        <v>0</v>
      </c>
      <c r="H769" s="555">
        <f t="shared" si="45"/>
        <v>0</v>
      </c>
      <c r="I769" s="552">
        <f t="shared" si="46"/>
        <v>0</v>
      </c>
      <c r="J769" s="552"/>
      <c r="K769" s="572"/>
      <c r="L769" s="556"/>
      <c r="M769" s="572"/>
      <c r="N769" s="556"/>
      <c r="O769" s="556"/>
    </row>
    <row r="770" spans="3:15">
      <c r="C770" s="548">
        <f>IF(D725="","-",+C769+1)</f>
        <v>2053</v>
      </c>
      <c r="D770" s="506">
        <f t="shared" si="42"/>
        <v>0</v>
      </c>
      <c r="E770" s="549">
        <f t="shared" si="47"/>
        <v>0</v>
      </c>
      <c r="F770" s="506">
        <f t="shared" si="43"/>
        <v>0</v>
      </c>
      <c r="G770" s="554">
        <f t="shared" si="44"/>
        <v>0</v>
      </c>
      <c r="H770" s="555">
        <f t="shared" si="45"/>
        <v>0</v>
      </c>
      <c r="I770" s="552">
        <f t="shared" si="46"/>
        <v>0</v>
      </c>
      <c r="J770" s="552"/>
      <c r="K770" s="572"/>
      <c r="L770" s="556"/>
      <c r="M770" s="572"/>
      <c r="N770" s="556"/>
      <c r="O770" s="556"/>
    </row>
    <row r="771" spans="3:15">
      <c r="C771" s="548">
        <f>IF(D725="","-",+C770+1)</f>
        <v>2054</v>
      </c>
      <c r="D771" s="506">
        <f t="shared" si="42"/>
        <v>0</v>
      </c>
      <c r="E771" s="549">
        <f t="shared" si="47"/>
        <v>0</v>
      </c>
      <c r="F771" s="506">
        <f t="shared" si="43"/>
        <v>0</v>
      </c>
      <c r="G771" s="554">
        <f t="shared" si="44"/>
        <v>0</v>
      </c>
      <c r="H771" s="555">
        <f t="shared" si="45"/>
        <v>0</v>
      </c>
      <c r="I771" s="552">
        <f t="shared" si="46"/>
        <v>0</v>
      </c>
      <c r="J771" s="552"/>
      <c r="K771" s="572"/>
      <c r="L771" s="556"/>
      <c r="M771" s="572"/>
      <c r="N771" s="556"/>
      <c r="O771" s="556"/>
    </row>
    <row r="772" spans="3:15">
      <c r="C772" s="548">
        <f>IF(D725="","-",+C771+1)</f>
        <v>2055</v>
      </c>
      <c r="D772" s="506">
        <f t="shared" si="42"/>
        <v>0</v>
      </c>
      <c r="E772" s="549">
        <f t="shared" si="47"/>
        <v>0</v>
      </c>
      <c r="F772" s="506">
        <f t="shared" si="43"/>
        <v>0</v>
      </c>
      <c r="G772" s="554">
        <f t="shared" si="44"/>
        <v>0</v>
      </c>
      <c r="H772" s="555">
        <f t="shared" si="45"/>
        <v>0</v>
      </c>
      <c r="I772" s="552">
        <f t="shared" si="46"/>
        <v>0</v>
      </c>
      <c r="J772" s="552"/>
      <c r="K772" s="572"/>
      <c r="L772" s="556"/>
      <c r="M772" s="572"/>
      <c r="N772" s="556"/>
      <c r="O772" s="556"/>
    </row>
    <row r="773" spans="3:15">
      <c r="C773" s="548">
        <f>IF(D725="","-",+C772+1)</f>
        <v>2056</v>
      </c>
      <c r="D773" s="506">
        <f t="shared" si="42"/>
        <v>0</v>
      </c>
      <c r="E773" s="549">
        <f t="shared" si="47"/>
        <v>0</v>
      </c>
      <c r="F773" s="506">
        <f t="shared" si="43"/>
        <v>0</v>
      </c>
      <c r="G773" s="554">
        <f t="shared" si="44"/>
        <v>0</v>
      </c>
      <c r="H773" s="555">
        <f t="shared" si="45"/>
        <v>0</v>
      </c>
      <c r="I773" s="552">
        <f t="shared" si="46"/>
        <v>0</v>
      </c>
      <c r="J773" s="552"/>
      <c r="K773" s="572"/>
      <c r="L773" s="556"/>
      <c r="M773" s="572"/>
      <c r="N773" s="556"/>
      <c r="O773" s="556"/>
    </row>
    <row r="774" spans="3:15">
      <c r="C774" s="548">
        <f>IF(D725="","-",+C773+1)</f>
        <v>2057</v>
      </c>
      <c r="D774" s="506">
        <f t="shared" si="42"/>
        <v>0</v>
      </c>
      <c r="E774" s="549">
        <f t="shared" si="47"/>
        <v>0</v>
      </c>
      <c r="F774" s="506">
        <f t="shared" si="43"/>
        <v>0</v>
      </c>
      <c r="G774" s="554">
        <f t="shared" si="44"/>
        <v>0</v>
      </c>
      <c r="H774" s="555">
        <f t="shared" si="45"/>
        <v>0</v>
      </c>
      <c r="I774" s="552">
        <f t="shared" si="46"/>
        <v>0</v>
      </c>
      <c r="J774" s="552"/>
      <c r="K774" s="572"/>
      <c r="L774" s="556"/>
      <c r="M774" s="572"/>
      <c r="N774" s="556"/>
      <c r="O774" s="556"/>
    </row>
    <row r="775" spans="3:15">
      <c r="C775" s="548">
        <f>IF(D725="","-",+C774+1)</f>
        <v>2058</v>
      </c>
      <c r="D775" s="506">
        <f t="shared" si="42"/>
        <v>0</v>
      </c>
      <c r="E775" s="549">
        <f t="shared" si="47"/>
        <v>0</v>
      </c>
      <c r="F775" s="506">
        <f t="shared" si="43"/>
        <v>0</v>
      </c>
      <c r="G775" s="554">
        <f t="shared" si="44"/>
        <v>0</v>
      </c>
      <c r="H775" s="555">
        <f t="shared" si="45"/>
        <v>0</v>
      </c>
      <c r="I775" s="552">
        <f t="shared" si="46"/>
        <v>0</v>
      </c>
      <c r="J775" s="552"/>
      <c r="K775" s="572"/>
      <c r="L775" s="556"/>
      <c r="M775" s="572"/>
      <c r="N775" s="556"/>
      <c r="O775" s="556"/>
    </row>
    <row r="776" spans="3:15">
      <c r="C776" s="548">
        <f>IF(D725="","-",+C775+1)</f>
        <v>2059</v>
      </c>
      <c r="D776" s="506">
        <f t="shared" si="42"/>
        <v>0</v>
      </c>
      <c r="E776" s="549">
        <f t="shared" si="47"/>
        <v>0</v>
      </c>
      <c r="F776" s="506">
        <f t="shared" si="43"/>
        <v>0</v>
      </c>
      <c r="G776" s="554">
        <f t="shared" si="44"/>
        <v>0</v>
      </c>
      <c r="H776" s="555">
        <f t="shared" si="45"/>
        <v>0</v>
      </c>
      <c r="I776" s="552">
        <f t="shared" si="46"/>
        <v>0</v>
      </c>
      <c r="J776" s="552"/>
      <c r="K776" s="572"/>
      <c r="L776" s="556"/>
      <c r="M776" s="572"/>
      <c r="N776" s="556"/>
      <c r="O776" s="556"/>
    </row>
    <row r="777" spans="3:15">
      <c r="C777" s="548">
        <f>IF(D725="","-",+C776+1)</f>
        <v>2060</v>
      </c>
      <c r="D777" s="506">
        <f t="shared" si="42"/>
        <v>0</v>
      </c>
      <c r="E777" s="549">
        <f t="shared" si="47"/>
        <v>0</v>
      </c>
      <c r="F777" s="506">
        <f t="shared" si="43"/>
        <v>0</v>
      </c>
      <c r="G777" s="554">
        <f t="shared" si="44"/>
        <v>0</v>
      </c>
      <c r="H777" s="555">
        <f t="shared" si="45"/>
        <v>0</v>
      </c>
      <c r="I777" s="552">
        <f t="shared" si="46"/>
        <v>0</v>
      </c>
      <c r="J777" s="552"/>
      <c r="K777" s="572"/>
      <c r="L777" s="556"/>
      <c r="M777" s="572"/>
      <c r="N777" s="556"/>
      <c r="O777" s="556"/>
    </row>
    <row r="778" spans="3:15">
      <c r="C778" s="548">
        <f>IF(D725="","-",+C777+1)</f>
        <v>2061</v>
      </c>
      <c r="D778" s="506">
        <f t="shared" si="42"/>
        <v>0</v>
      </c>
      <c r="E778" s="549">
        <f t="shared" si="47"/>
        <v>0</v>
      </c>
      <c r="F778" s="506">
        <f t="shared" si="43"/>
        <v>0</v>
      </c>
      <c r="G778" s="554">
        <f t="shared" si="44"/>
        <v>0</v>
      </c>
      <c r="H778" s="555">
        <f t="shared" si="45"/>
        <v>0</v>
      </c>
      <c r="I778" s="552">
        <f t="shared" si="46"/>
        <v>0</v>
      </c>
      <c r="J778" s="552"/>
      <c r="K778" s="572"/>
      <c r="L778" s="556"/>
      <c r="M778" s="572"/>
      <c r="N778" s="556"/>
      <c r="O778" s="556"/>
    </row>
    <row r="779" spans="3:15">
      <c r="C779" s="548">
        <f>IF(D725="","-",+C778+1)</f>
        <v>2062</v>
      </c>
      <c r="D779" s="506">
        <f t="shared" si="42"/>
        <v>0</v>
      </c>
      <c r="E779" s="549">
        <f t="shared" si="47"/>
        <v>0</v>
      </c>
      <c r="F779" s="506">
        <f t="shared" si="43"/>
        <v>0</v>
      </c>
      <c r="G779" s="554">
        <f t="shared" si="44"/>
        <v>0</v>
      </c>
      <c r="H779" s="555">
        <f t="shared" si="45"/>
        <v>0</v>
      </c>
      <c r="I779" s="552">
        <f t="shared" si="46"/>
        <v>0</v>
      </c>
      <c r="J779" s="552"/>
      <c r="K779" s="572"/>
      <c r="L779" s="556"/>
      <c r="M779" s="572"/>
      <c r="N779" s="556"/>
      <c r="O779" s="556"/>
    </row>
    <row r="780" spans="3:15">
      <c r="C780" s="548">
        <f>IF(D725="","-",+C779+1)</f>
        <v>2063</v>
      </c>
      <c r="D780" s="506">
        <f t="shared" si="42"/>
        <v>0</v>
      </c>
      <c r="E780" s="549">
        <f t="shared" si="47"/>
        <v>0</v>
      </c>
      <c r="F780" s="506">
        <f t="shared" si="43"/>
        <v>0</v>
      </c>
      <c r="G780" s="554">
        <f t="shared" si="44"/>
        <v>0</v>
      </c>
      <c r="H780" s="555">
        <f t="shared" si="45"/>
        <v>0</v>
      </c>
      <c r="I780" s="552">
        <f t="shared" si="46"/>
        <v>0</v>
      </c>
      <c r="J780" s="552"/>
      <c r="K780" s="572"/>
      <c r="L780" s="556"/>
      <c r="M780" s="572"/>
      <c r="N780" s="556"/>
      <c r="O780" s="556"/>
    </row>
    <row r="781" spans="3:15">
      <c r="C781" s="548">
        <f>IF(D725="","-",+C780+1)</f>
        <v>2064</v>
      </c>
      <c r="D781" s="506">
        <f t="shared" si="42"/>
        <v>0</v>
      </c>
      <c r="E781" s="549">
        <f t="shared" si="47"/>
        <v>0</v>
      </c>
      <c r="F781" s="506">
        <f t="shared" si="43"/>
        <v>0</v>
      </c>
      <c r="G781" s="554">
        <f t="shared" si="44"/>
        <v>0</v>
      </c>
      <c r="H781" s="555">
        <f t="shared" si="45"/>
        <v>0</v>
      </c>
      <c r="I781" s="552">
        <f t="shared" si="46"/>
        <v>0</v>
      </c>
      <c r="J781" s="552"/>
      <c r="K781" s="572"/>
      <c r="L781" s="556"/>
      <c r="M781" s="572"/>
      <c r="N781" s="556"/>
      <c r="O781" s="556"/>
    </row>
    <row r="782" spans="3:15">
      <c r="C782" s="548">
        <f>IF(D725="","-",+C781+1)</f>
        <v>2065</v>
      </c>
      <c r="D782" s="506">
        <f t="shared" si="42"/>
        <v>0</v>
      </c>
      <c r="E782" s="549">
        <f t="shared" si="47"/>
        <v>0</v>
      </c>
      <c r="F782" s="506">
        <f t="shared" si="43"/>
        <v>0</v>
      </c>
      <c r="G782" s="554">
        <f t="shared" si="44"/>
        <v>0</v>
      </c>
      <c r="H782" s="555">
        <f t="shared" si="45"/>
        <v>0</v>
      </c>
      <c r="I782" s="552">
        <f t="shared" si="46"/>
        <v>0</v>
      </c>
      <c r="J782" s="552"/>
      <c r="K782" s="572"/>
      <c r="L782" s="556"/>
      <c r="M782" s="572"/>
      <c r="N782" s="556"/>
      <c r="O782" s="556"/>
    </row>
    <row r="783" spans="3:15">
      <c r="C783" s="548">
        <f>IF(D725="","-",+C782+1)</f>
        <v>2066</v>
      </c>
      <c r="D783" s="506">
        <f t="shared" si="42"/>
        <v>0</v>
      </c>
      <c r="E783" s="549">
        <f t="shared" si="47"/>
        <v>0</v>
      </c>
      <c r="F783" s="506">
        <f t="shared" si="43"/>
        <v>0</v>
      </c>
      <c r="G783" s="554">
        <f t="shared" si="44"/>
        <v>0</v>
      </c>
      <c r="H783" s="555">
        <f t="shared" si="45"/>
        <v>0</v>
      </c>
      <c r="I783" s="552">
        <f t="shared" si="46"/>
        <v>0</v>
      </c>
      <c r="J783" s="552"/>
      <c r="K783" s="572"/>
      <c r="L783" s="556"/>
      <c r="M783" s="572"/>
      <c r="N783" s="556"/>
      <c r="O783" s="556"/>
    </row>
    <row r="784" spans="3:15">
      <c r="C784" s="548">
        <f>IF(D725="","-",+C783+1)</f>
        <v>2067</v>
      </c>
      <c r="D784" s="506">
        <f t="shared" si="42"/>
        <v>0</v>
      </c>
      <c r="E784" s="549">
        <f t="shared" si="47"/>
        <v>0</v>
      </c>
      <c r="F784" s="506">
        <f t="shared" si="43"/>
        <v>0</v>
      </c>
      <c r="G784" s="554">
        <f t="shared" si="44"/>
        <v>0</v>
      </c>
      <c r="H784" s="555">
        <f t="shared" si="45"/>
        <v>0</v>
      </c>
      <c r="I784" s="552">
        <f t="shared" si="46"/>
        <v>0</v>
      </c>
      <c r="J784" s="552"/>
      <c r="K784" s="572"/>
      <c r="L784" s="556"/>
      <c r="M784" s="572"/>
      <c r="N784" s="556"/>
      <c r="O784" s="556"/>
    </row>
    <row r="785" spans="3:15">
      <c r="C785" s="548">
        <f>IF(D725="","-",+C784+1)</f>
        <v>2068</v>
      </c>
      <c r="D785" s="506">
        <f t="shared" si="42"/>
        <v>0</v>
      </c>
      <c r="E785" s="549">
        <f t="shared" si="47"/>
        <v>0</v>
      </c>
      <c r="F785" s="506">
        <f t="shared" si="43"/>
        <v>0</v>
      </c>
      <c r="G785" s="554">
        <f t="shared" si="44"/>
        <v>0</v>
      </c>
      <c r="H785" s="555">
        <f t="shared" si="45"/>
        <v>0</v>
      </c>
      <c r="I785" s="552">
        <f t="shared" si="46"/>
        <v>0</v>
      </c>
      <c r="J785" s="552"/>
      <c r="K785" s="572"/>
      <c r="L785" s="556"/>
      <c r="M785" s="572"/>
      <c r="N785" s="556"/>
      <c r="O785" s="556"/>
    </row>
    <row r="786" spans="3:15">
      <c r="C786" s="548">
        <f>IF(D725="","-",+C785+1)</f>
        <v>2069</v>
      </c>
      <c r="D786" s="506">
        <f t="shared" si="42"/>
        <v>0</v>
      </c>
      <c r="E786" s="549">
        <f t="shared" si="47"/>
        <v>0</v>
      </c>
      <c r="F786" s="506">
        <f t="shared" si="43"/>
        <v>0</v>
      </c>
      <c r="G786" s="554">
        <f t="shared" si="44"/>
        <v>0</v>
      </c>
      <c r="H786" s="555">
        <f t="shared" si="45"/>
        <v>0</v>
      </c>
      <c r="I786" s="552">
        <f t="shared" si="46"/>
        <v>0</v>
      </c>
      <c r="J786" s="552"/>
      <c r="K786" s="572"/>
      <c r="L786" s="556"/>
      <c r="M786" s="572"/>
      <c r="N786" s="556"/>
      <c r="O786" s="556"/>
    </row>
    <row r="787" spans="3:15">
      <c r="C787" s="548">
        <f>IF(D725="","-",+C786+1)</f>
        <v>2070</v>
      </c>
      <c r="D787" s="506">
        <f t="shared" si="42"/>
        <v>0</v>
      </c>
      <c r="E787" s="549">
        <f t="shared" si="47"/>
        <v>0</v>
      </c>
      <c r="F787" s="506">
        <f t="shared" si="43"/>
        <v>0</v>
      </c>
      <c r="G787" s="554">
        <f t="shared" si="44"/>
        <v>0</v>
      </c>
      <c r="H787" s="555">
        <f t="shared" si="45"/>
        <v>0</v>
      </c>
      <c r="I787" s="552">
        <f t="shared" si="46"/>
        <v>0</v>
      </c>
      <c r="J787" s="552"/>
      <c r="K787" s="572"/>
      <c r="L787" s="556"/>
      <c r="M787" s="572"/>
      <c r="N787" s="556"/>
      <c r="O787" s="556"/>
    </row>
    <row r="788" spans="3:15">
      <c r="C788" s="548">
        <f>IF(D725="","-",+C787+1)</f>
        <v>2071</v>
      </c>
      <c r="D788" s="506">
        <f t="shared" si="42"/>
        <v>0</v>
      </c>
      <c r="E788" s="549">
        <f t="shared" si="47"/>
        <v>0</v>
      </c>
      <c r="F788" s="506">
        <f t="shared" si="43"/>
        <v>0</v>
      </c>
      <c r="G788" s="554">
        <f t="shared" si="44"/>
        <v>0</v>
      </c>
      <c r="H788" s="555">
        <f t="shared" si="45"/>
        <v>0</v>
      </c>
      <c r="I788" s="552">
        <f t="shared" si="46"/>
        <v>0</v>
      </c>
      <c r="J788" s="552"/>
      <c r="K788" s="572"/>
      <c r="L788" s="556"/>
      <c r="M788" s="572"/>
      <c r="N788" s="556"/>
      <c r="O788" s="556"/>
    </row>
    <row r="789" spans="3:15">
      <c r="C789" s="548">
        <f>IF(D725="","-",+C788+1)</f>
        <v>2072</v>
      </c>
      <c r="D789" s="506">
        <f t="shared" si="42"/>
        <v>0</v>
      </c>
      <c r="E789" s="549">
        <f t="shared" si="47"/>
        <v>0</v>
      </c>
      <c r="F789" s="506">
        <f t="shared" si="43"/>
        <v>0</v>
      </c>
      <c r="G789" s="554">
        <f t="shared" si="44"/>
        <v>0</v>
      </c>
      <c r="H789" s="555">
        <f t="shared" si="45"/>
        <v>0</v>
      </c>
      <c r="I789" s="552">
        <f t="shared" si="46"/>
        <v>0</v>
      </c>
      <c r="J789" s="552"/>
      <c r="K789" s="572"/>
      <c r="L789" s="556"/>
      <c r="M789" s="572"/>
      <c r="N789" s="556"/>
      <c r="O789" s="556"/>
    </row>
    <row r="790" spans="3:15" ht="13.5" thickBot="1">
      <c r="C790" s="558">
        <f>IF(D725="","-",+C789+1)</f>
        <v>2073</v>
      </c>
      <c r="D790" s="559">
        <f t="shared" si="42"/>
        <v>0</v>
      </c>
      <c r="E790" s="560">
        <f t="shared" si="47"/>
        <v>0</v>
      </c>
      <c r="F790" s="559">
        <f t="shared" si="43"/>
        <v>0</v>
      </c>
      <c r="G790" s="561">
        <f t="shared" si="44"/>
        <v>0</v>
      </c>
      <c r="H790" s="561">
        <f t="shared" si="45"/>
        <v>0</v>
      </c>
      <c r="I790" s="562">
        <f t="shared" si="46"/>
        <v>0</v>
      </c>
      <c r="J790" s="552"/>
      <c r="K790" s="573"/>
      <c r="L790" s="563"/>
      <c r="M790" s="573"/>
      <c r="N790" s="563"/>
      <c r="O790" s="563"/>
    </row>
    <row r="791" spans="3:15">
      <c r="C791" s="506" t="s">
        <v>83</v>
      </c>
      <c r="D791" s="503"/>
      <c r="E791" s="503">
        <f>SUM(E731:E790)</f>
        <v>6422010.4699999997</v>
      </c>
      <c r="F791" s="503"/>
      <c r="G791" s="503">
        <f>SUM(G731:G790)</f>
        <v>23500425.195499446</v>
      </c>
      <c r="H791" s="503">
        <f>SUM(H731:H790)</f>
        <v>23500425.195499446</v>
      </c>
      <c r="I791" s="503">
        <f>SUM(I731:I790)</f>
        <v>0</v>
      </c>
      <c r="J791" s="503"/>
      <c r="K791" s="503"/>
      <c r="L791" s="503"/>
      <c r="M791" s="503"/>
      <c r="N791" s="503"/>
      <c r="O791" s="3"/>
    </row>
    <row r="792" spans="3:15">
      <c r="D792" s="47"/>
      <c r="E792" s="3"/>
      <c r="F792" s="3"/>
      <c r="G792" s="3"/>
      <c r="H792" s="490"/>
      <c r="I792" s="490"/>
      <c r="J792" s="503"/>
      <c r="K792" s="490"/>
      <c r="L792" s="490"/>
      <c r="M792" s="490"/>
      <c r="N792" s="490"/>
      <c r="O792" s="3"/>
    </row>
    <row r="793" spans="3:15">
      <c r="C793" s="3" t="s">
        <v>13</v>
      </c>
      <c r="D793" s="47"/>
      <c r="E793" s="3"/>
      <c r="F793" s="3"/>
      <c r="G793" s="3"/>
      <c r="H793" s="490"/>
      <c r="I793" s="490"/>
      <c r="J793" s="503"/>
      <c r="K793" s="490"/>
      <c r="L793" s="490"/>
      <c r="M793" s="490"/>
      <c r="N793" s="490"/>
      <c r="O793" s="3"/>
    </row>
    <row r="794" spans="3:15">
      <c r="C794" s="3"/>
      <c r="D794" s="47"/>
      <c r="E794" s="3"/>
      <c r="F794" s="3"/>
      <c r="G794" s="3"/>
      <c r="H794" s="490"/>
      <c r="I794" s="490"/>
      <c r="J794" s="503"/>
      <c r="K794" s="490"/>
      <c r="L794" s="490"/>
      <c r="M794" s="490"/>
      <c r="N794" s="490"/>
      <c r="O794" s="3"/>
    </row>
    <row r="795" spans="3:15">
      <c r="C795" s="518" t="s">
        <v>14</v>
      </c>
      <c r="D795" s="506"/>
      <c r="E795" s="506"/>
      <c r="F795" s="506"/>
      <c r="G795" s="503"/>
      <c r="H795" s="503"/>
      <c r="I795" s="564"/>
      <c r="J795" s="564"/>
      <c r="K795" s="564"/>
      <c r="L795" s="564"/>
      <c r="M795" s="564"/>
      <c r="N795" s="564"/>
      <c r="O795" s="3"/>
    </row>
    <row r="796" spans="3:15">
      <c r="C796" s="507" t="s">
        <v>263</v>
      </c>
      <c r="D796" s="506"/>
      <c r="E796" s="506"/>
      <c r="F796" s="506"/>
      <c r="G796" s="503"/>
      <c r="H796" s="503"/>
      <c r="I796" s="564"/>
      <c r="J796" s="564"/>
      <c r="K796" s="564"/>
      <c r="L796" s="564"/>
      <c r="M796" s="564"/>
      <c r="N796" s="564"/>
      <c r="O796" s="3"/>
    </row>
    <row r="797" spans="3:15">
      <c r="C797" s="507" t="s">
        <v>84</v>
      </c>
      <c r="D797" s="506"/>
      <c r="E797" s="506"/>
      <c r="F797" s="506"/>
      <c r="G797" s="503"/>
      <c r="H797" s="503"/>
      <c r="I797" s="564"/>
      <c r="J797" s="564"/>
      <c r="K797" s="564"/>
      <c r="L797" s="564"/>
      <c r="M797" s="564"/>
      <c r="N797" s="564"/>
      <c r="O797" s="3"/>
    </row>
    <row r="798" spans="3:15">
      <c r="C798" s="507"/>
      <c r="D798" s="506"/>
      <c r="E798" s="506"/>
      <c r="F798" s="506"/>
      <c r="G798" s="503"/>
      <c r="H798" s="503"/>
      <c r="I798" s="564"/>
      <c r="J798" s="564"/>
      <c r="K798" s="564"/>
      <c r="L798" s="564"/>
      <c r="M798" s="564"/>
      <c r="N798" s="564"/>
      <c r="O798" s="3"/>
    </row>
    <row r="799" spans="3:15">
      <c r="C799" s="1200" t="s">
        <v>6</v>
      </c>
      <c r="D799" s="1200"/>
      <c r="E799" s="1200"/>
      <c r="F799" s="1200"/>
      <c r="G799" s="1200"/>
      <c r="H799" s="1200"/>
      <c r="I799" s="1200"/>
      <c r="J799" s="1200"/>
      <c r="K799" s="1200"/>
      <c r="L799" s="1200"/>
      <c r="M799" s="1200"/>
      <c r="N799" s="1200"/>
      <c r="O799" s="1200"/>
    </row>
    <row r="800" spans="3:15">
      <c r="C800" s="1200"/>
      <c r="D800" s="1200"/>
      <c r="E800" s="1200"/>
      <c r="F800" s="1200"/>
      <c r="G800" s="1200"/>
      <c r="H800" s="1200"/>
      <c r="I800" s="1200"/>
      <c r="J800" s="1200"/>
      <c r="K800" s="1200"/>
      <c r="L800" s="1200"/>
      <c r="M800" s="1200"/>
      <c r="N800" s="1200"/>
      <c r="O800" s="1200"/>
    </row>
    <row r="801" spans="1:16">
      <c r="C801" s="507"/>
      <c r="D801" s="506"/>
      <c r="E801" s="506"/>
      <c r="F801" s="506"/>
      <c r="G801" s="503"/>
      <c r="H801" s="503"/>
    </row>
    <row r="802" spans="1:16" ht="20.25">
      <c r="A802" s="447" t="str">
        <f>""&amp;A726&amp;" Worksheet J -  ATRR PROJECTED Calculation for PJM Projects Charged to Benefiting Zones"</f>
        <v xml:space="preserve"> Worksheet J -  ATRR PROJECTED Calculation for PJM Projects Charged to Benefiting Zones</v>
      </c>
      <c r="B802" s="3"/>
      <c r="C802" s="3"/>
      <c r="D802" s="47"/>
      <c r="E802" s="3"/>
      <c r="F802" s="489"/>
      <c r="G802" s="3"/>
      <c r="H802" s="490"/>
      <c r="K802" s="398"/>
      <c r="L802" s="398"/>
      <c r="M802" s="398"/>
      <c r="N802" s="398" t="str">
        <f>"Page "&amp;SUM(P$8:P802)&amp;" of "</f>
        <v xml:space="preserve">Page 10 of </v>
      </c>
      <c r="O802" s="448">
        <f>COUNT(P$8:P$56653)</f>
        <v>23</v>
      </c>
      <c r="P802">
        <v>1</v>
      </c>
    </row>
    <row r="803" spans="1:16">
      <c r="B803" s="3"/>
      <c r="C803" s="3"/>
      <c r="D803" s="47"/>
      <c r="E803" s="3"/>
      <c r="F803" s="3"/>
      <c r="G803" s="3"/>
      <c r="H803" s="490"/>
      <c r="I803" s="3"/>
      <c r="J803" s="3"/>
      <c r="K803" s="3"/>
      <c r="L803" s="3"/>
      <c r="M803" s="3"/>
      <c r="N803" s="3"/>
      <c r="O803" s="3"/>
    </row>
    <row r="804" spans="1:16" ht="18">
      <c r="B804" s="449" t="s">
        <v>464</v>
      </c>
      <c r="C804" s="122" t="s">
        <v>85</v>
      </c>
      <c r="D804" s="47"/>
      <c r="E804" s="3"/>
      <c r="F804" s="3"/>
      <c r="G804" s="3"/>
      <c r="H804" s="490"/>
      <c r="I804" s="490"/>
      <c r="J804" s="503"/>
      <c r="K804" s="490"/>
      <c r="L804" s="490"/>
      <c r="M804" s="490"/>
      <c r="N804" s="490"/>
      <c r="O804" s="3"/>
    </row>
    <row r="805" spans="1:16" ht="18.75">
      <c r="B805" s="449"/>
      <c r="C805" s="6"/>
      <c r="D805" s="47"/>
      <c r="E805" s="3"/>
      <c r="F805" s="3"/>
      <c r="G805" s="3"/>
      <c r="H805" s="490"/>
      <c r="I805" s="490"/>
      <c r="J805" s="503"/>
      <c r="K805" s="490"/>
      <c r="L805" s="490"/>
      <c r="M805" s="490"/>
      <c r="N805" s="490"/>
      <c r="O805" s="3"/>
    </row>
    <row r="806" spans="1:16" ht="18.75">
      <c r="B806" s="449"/>
      <c r="C806" s="6" t="s">
        <v>86</v>
      </c>
      <c r="D806" s="47"/>
      <c r="E806" s="3"/>
      <c r="F806" s="3"/>
      <c r="G806" s="3"/>
      <c r="H806" s="490"/>
      <c r="I806" s="490"/>
      <c r="J806" s="503"/>
      <c r="K806" s="490"/>
      <c r="L806" s="490"/>
      <c r="M806" s="490"/>
      <c r="N806" s="490"/>
      <c r="O806" s="3"/>
    </row>
    <row r="807" spans="1:16" ht="15.75" thickBot="1">
      <c r="C807" s="131"/>
      <c r="D807" s="47"/>
      <c r="E807" s="3"/>
      <c r="F807" s="3"/>
      <c r="G807" s="3"/>
      <c r="H807" s="490"/>
      <c r="I807" s="490"/>
      <c r="J807" s="503"/>
      <c r="K807" s="490"/>
      <c r="L807" s="490"/>
      <c r="M807" s="490"/>
      <c r="N807" s="490"/>
      <c r="O807" s="3"/>
    </row>
    <row r="808" spans="1:16" ht="15.75">
      <c r="C808" s="451" t="s">
        <v>87</v>
      </c>
      <c r="D808" s="47"/>
      <c r="E808" s="3"/>
      <c r="F808" s="3"/>
      <c r="G808" s="566"/>
      <c r="H808" s="3" t="s">
        <v>66</v>
      </c>
      <c r="I808" s="3"/>
      <c r="J808" s="3"/>
      <c r="K808" s="509" t="s">
        <v>91</v>
      </c>
      <c r="L808" s="510"/>
      <c r="M808" s="511"/>
      <c r="N808" s="512">
        <f>IF(I814=0,0,VLOOKUP(I814,C821:O880,5))</f>
        <v>1726710.1853996569</v>
      </c>
      <c r="O808" s="3"/>
    </row>
    <row r="809" spans="1:16" ht="15.75">
      <c r="C809" s="451"/>
      <c r="D809" s="47"/>
      <c r="E809" s="3"/>
      <c r="F809" s="3"/>
      <c r="G809" s="3"/>
      <c r="H809" s="513"/>
      <c r="I809" s="513"/>
      <c r="J809" s="514"/>
      <c r="K809" s="515" t="s">
        <v>92</v>
      </c>
      <c r="L809" s="516"/>
      <c r="M809" s="3"/>
      <c r="N809" s="517">
        <f>IF(I814=0,0,VLOOKUP(I814,C821:O880,6))</f>
        <v>1726710.1853996569</v>
      </c>
      <c r="O809" s="3"/>
    </row>
    <row r="810" spans="1:16" ht="13.5" thickBot="1">
      <c r="C810" s="518" t="s">
        <v>88</v>
      </c>
      <c r="D810" s="1194" t="s">
        <v>811</v>
      </c>
      <c r="E810" s="1194"/>
      <c r="F810" s="1194"/>
      <c r="G810" s="1194"/>
      <c r="H810" s="1194"/>
      <c r="I810" s="1194"/>
      <c r="J810" s="503"/>
      <c r="K810" s="519" t="s">
        <v>230</v>
      </c>
      <c r="L810" s="520"/>
      <c r="M810" s="520"/>
      <c r="N810" s="521">
        <f>+N809-N808</f>
        <v>0</v>
      </c>
      <c r="O810" s="3"/>
    </row>
    <row r="811" spans="1:16">
      <c r="C811" s="522"/>
      <c r="D811" s="523"/>
      <c r="E811" s="506"/>
      <c r="F811" s="506"/>
      <c r="G811" s="524"/>
      <c r="H811" s="490"/>
      <c r="I811" s="490"/>
      <c r="J811" s="503"/>
      <c r="K811" s="490"/>
      <c r="L811" s="490"/>
      <c r="M811" s="490"/>
      <c r="N811" s="490"/>
      <c r="O811" s="3"/>
    </row>
    <row r="812" spans="1:16" ht="13.5" thickBot="1">
      <c r="C812" s="522"/>
      <c r="D812" s="3"/>
      <c r="E812" s="524"/>
      <c r="F812" s="524"/>
      <c r="G812" s="524"/>
      <c r="H812" s="524"/>
      <c r="I812" s="524"/>
      <c r="J812" s="524"/>
      <c r="K812" s="524"/>
      <c r="L812" s="524"/>
      <c r="M812" s="524"/>
      <c r="N812" s="524"/>
      <c r="O812" s="3"/>
    </row>
    <row r="813" spans="1:16" ht="13.5" thickBot="1">
      <c r="C813" s="525" t="s">
        <v>89</v>
      </c>
      <c r="D813" s="526"/>
      <c r="E813" s="526"/>
      <c r="F813" s="526"/>
      <c r="G813" s="526"/>
      <c r="H813" s="526"/>
      <c r="I813" s="527"/>
      <c r="K813" s="3"/>
      <c r="L813" s="3"/>
      <c r="M813" s="3"/>
      <c r="N813" s="3"/>
      <c r="O813" s="3"/>
    </row>
    <row r="814" spans="1:16" ht="15">
      <c r="C814" s="528" t="s">
        <v>67</v>
      </c>
      <c r="D814" s="568">
        <v>13479817.289999999</v>
      </c>
      <c r="E814" s="3" t="s">
        <v>68</v>
      </c>
      <c r="G814" s="47"/>
      <c r="H814" s="47"/>
      <c r="I814" s="529">
        <f>$L$26</f>
        <v>2026</v>
      </c>
      <c r="J814" s="70"/>
      <c r="K814" s="1193" t="s">
        <v>239</v>
      </c>
      <c r="L814" s="1193"/>
      <c r="M814" s="1193"/>
      <c r="N814" s="1193"/>
      <c r="O814" s="1193"/>
    </row>
    <row r="815" spans="1:16">
      <c r="C815" s="528" t="s">
        <v>70</v>
      </c>
      <c r="D815" s="569">
        <v>2014</v>
      </c>
      <c r="E815" s="528" t="s">
        <v>71</v>
      </c>
      <c r="F815" s="47"/>
      <c r="H815"/>
      <c r="I815" s="570">
        <f>IF(G808="",0,$F$17)</f>
        <v>0</v>
      </c>
      <c r="J815" s="530"/>
      <c r="K815" s="503" t="s">
        <v>239</v>
      </c>
    </row>
    <row r="816" spans="1:16">
      <c r="C816" s="528" t="s">
        <v>72</v>
      </c>
      <c r="D816" s="568">
        <v>12</v>
      </c>
      <c r="E816" s="528" t="s">
        <v>73</v>
      </c>
      <c r="F816" s="47"/>
      <c r="H816"/>
      <c r="I816" s="531">
        <f>$G$70</f>
        <v>0.14912278949438812</v>
      </c>
      <c r="J816" s="489"/>
      <c r="K816" t="str">
        <f>"          INPUT PROJECTED ARR (WITH &amp; WITHOUT INCENTIVES) FROM EACH PRIOR YEAR"</f>
        <v xml:space="preserve">          INPUT PROJECTED ARR (WITH &amp; WITHOUT INCENTIVES) FROM EACH PRIOR YEAR</v>
      </c>
    </row>
    <row r="817" spans="2:15">
      <c r="C817" s="528" t="s">
        <v>74</v>
      </c>
      <c r="D817" s="532">
        <f>$G$79</f>
        <v>34</v>
      </c>
      <c r="E817" s="528" t="s">
        <v>75</v>
      </c>
      <c r="F817" s="47"/>
      <c r="H817"/>
      <c r="I817" s="531">
        <f>IF(G808="",I816,$G$69)</f>
        <v>0.14912278949438812</v>
      </c>
      <c r="J817" s="489"/>
      <c r="K817" t="s">
        <v>152</v>
      </c>
    </row>
    <row r="818" spans="2:15" ht="13.5" thickBot="1">
      <c r="C818" s="528" t="s">
        <v>76</v>
      </c>
      <c r="D818" s="567" t="s">
        <v>802</v>
      </c>
      <c r="E818" s="533" t="s">
        <v>77</v>
      </c>
      <c r="F818" s="534"/>
      <c r="G818" s="535"/>
      <c r="H818" s="535"/>
      <c r="I818" s="521">
        <f>IF(D814=0,0,D814/D817)</f>
        <v>396465.2144117647</v>
      </c>
      <c r="J818" s="503"/>
      <c r="K818" s="503" t="s">
        <v>158</v>
      </c>
      <c r="L818" s="503"/>
      <c r="M818" s="503"/>
      <c r="N818" s="503"/>
      <c r="O818" s="3"/>
    </row>
    <row r="819" spans="2:15" ht="38.25">
      <c r="B819" s="450"/>
      <c r="C819" s="536" t="s">
        <v>67</v>
      </c>
      <c r="D819" s="537" t="s">
        <v>78</v>
      </c>
      <c r="E819" s="538" t="s">
        <v>79</v>
      </c>
      <c r="F819" s="537" t="s">
        <v>80</v>
      </c>
      <c r="G819" s="538" t="s">
        <v>151</v>
      </c>
      <c r="H819" s="539" t="s">
        <v>151</v>
      </c>
      <c r="I819" s="536" t="s">
        <v>90</v>
      </c>
      <c r="J819" s="540"/>
      <c r="K819" s="538" t="s">
        <v>160</v>
      </c>
      <c r="L819" s="541"/>
      <c r="M819" s="538" t="s">
        <v>160</v>
      </c>
      <c r="N819" s="541"/>
      <c r="O819" s="541"/>
    </row>
    <row r="820" spans="2:15" ht="13.5" thickBot="1">
      <c r="C820" s="542" t="s">
        <v>467</v>
      </c>
      <c r="D820" s="543" t="s">
        <v>468</v>
      </c>
      <c r="E820" s="542" t="s">
        <v>361</v>
      </c>
      <c r="F820" s="543" t="s">
        <v>468</v>
      </c>
      <c r="G820" s="544" t="s">
        <v>93</v>
      </c>
      <c r="H820" s="545" t="s">
        <v>95</v>
      </c>
      <c r="I820" s="542" t="s">
        <v>15</v>
      </c>
      <c r="J820" s="546"/>
      <c r="K820" s="544" t="s">
        <v>82</v>
      </c>
      <c r="L820" s="547"/>
      <c r="M820" s="544" t="s">
        <v>95</v>
      </c>
      <c r="N820" s="547"/>
      <c r="O820" s="547"/>
    </row>
    <row r="821" spans="2:15">
      <c r="C821" s="548">
        <f>IF(D815= "","-",D815)</f>
        <v>2014</v>
      </c>
      <c r="D821" s="506">
        <f>+D814</f>
        <v>13479817.289999999</v>
      </c>
      <c r="E821" s="549">
        <f>+I818/12*(12-D816)</f>
        <v>0</v>
      </c>
      <c r="F821" s="506">
        <f>+D821-E821</f>
        <v>13479817.289999999</v>
      </c>
      <c r="G821" s="723">
        <f>+$I$96*((D821+F821)/2)+E821</f>
        <v>2010147.9561594832</v>
      </c>
      <c r="H821" s="724">
        <f>$I$97*((D821+F821)/2)+E821</f>
        <v>2010147.9561594832</v>
      </c>
      <c r="I821" s="552">
        <f>+H821-G821</f>
        <v>0</v>
      </c>
      <c r="J821" s="552"/>
      <c r="K821" s="571">
        <v>1611055</v>
      </c>
      <c r="L821" s="553"/>
      <c r="M821" s="571">
        <v>1611055</v>
      </c>
      <c r="N821" s="553"/>
      <c r="O821" s="553"/>
    </row>
    <row r="822" spans="2:15">
      <c r="C822" s="548">
        <f>IF(D815="","-",+C821+1)</f>
        <v>2015</v>
      </c>
      <c r="D822" s="506">
        <f t="shared" ref="D822:D880" si="48">F821</f>
        <v>13479817.289999999</v>
      </c>
      <c r="E822" s="549">
        <f>IF(D822&gt;$I$818,$I$818,D822)</f>
        <v>396465.2144117647</v>
      </c>
      <c r="F822" s="506">
        <f t="shared" ref="F822:F880" si="49">+D822-E822</f>
        <v>13083352.075588234</v>
      </c>
      <c r="G822" s="554">
        <f t="shared" ref="G822:G880" si="50">+$I$96*((D822+F822)/2)+E822</f>
        <v>2377052.1712159612</v>
      </c>
      <c r="H822" s="555">
        <f t="shared" ref="H822:H880" si="51">$I$97*((D822+F822)/2)+E822</f>
        <v>2377052.1712159612</v>
      </c>
      <c r="I822" s="552">
        <f t="shared" ref="I822:I880" si="52">+H822-G822</f>
        <v>0</v>
      </c>
      <c r="J822" s="552"/>
      <c r="K822" s="572">
        <v>1730626</v>
      </c>
      <c r="L822" s="556"/>
      <c r="M822" s="572">
        <v>1730626</v>
      </c>
      <c r="N822" s="556"/>
      <c r="O822" s="556"/>
    </row>
    <row r="823" spans="2:15">
      <c r="C823" s="548">
        <f>IF(D815="","-",+C822+1)</f>
        <v>2016</v>
      </c>
      <c r="D823" s="506">
        <f t="shared" si="48"/>
        <v>13083352.075588234</v>
      </c>
      <c r="E823" s="549">
        <f t="shared" ref="E823:E880" si="53">IF(D823&gt;$I$818,$I$818,D823)</f>
        <v>396465.2144117647</v>
      </c>
      <c r="F823" s="506">
        <f t="shared" si="49"/>
        <v>12686886.861176468</v>
      </c>
      <c r="G823" s="554">
        <f t="shared" si="50"/>
        <v>2317930.172505388</v>
      </c>
      <c r="H823" s="555">
        <f t="shared" si="51"/>
        <v>2317930.172505388</v>
      </c>
      <c r="I823" s="552">
        <f t="shared" si="52"/>
        <v>0</v>
      </c>
      <c r="J823" s="552"/>
      <c r="K823" s="572">
        <v>1937127</v>
      </c>
      <c r="L823" s="556"/>
      <c r="M823" s="572">
        <v>1937127</v>
      </c>
      <c r="N823" s="556"/>
      <c r="O823" s="556"/>
    </row>
    <row r="824" spans="2:15">
      <c r="C824" s="548">
        <f>IF(D815="","-",+C823+1)</f>
        <v>2017</v>
      </c>
      <c r="D824" s="506">
        <f t="shared" si="48"/>
        <v>12686886.861176468</v>
      </c>
      <c r="E824" s="549">
        <f t="shared" si="53"/>
        <v>396465.2144117647</v>
      </c>
      <c r="F824" s="506">
        <f t="shared" si="49"/>
        <v>12290421.646764703</v>
      </c>
      <c r="G824" s="554">
        <f t="shared" si="50"/>
        <v>2258808.1737948153</v>
      </c>
      <c r="H824" s="555">
        <f t="shared" si="51"/>
        <v>2258808.1737948153</v>
      </c>
      <c r="I824" s="552">
        <f t="shared" si="52"/>
        <v>0</v>
      </c>
      <c r="J824" s="552"/>
      <c r="K824" s="572">
        <v>2315830</v>
      </c>
      <c r="L824" s="556"/>
      <c r="M824" s="572">
        <v>2315830</v>
      </c>
      <c r="N824" s="556"/>
      <c r="O824" s="556"/>
    </row>
    <row r="825" spans="2:15">
      <c r="C825" s="974">
        <f>IF(D815="","-",+C824+1)</f>
        <v>2018</v>
      </c>
      <c r="D825" s="506">
        <f t="shared" si="48"/>
        <v>12290421.646764703</v>
      </c>
      <c r="E825" s="549">
        <f t="shared" si="53"/>
        <v>396465.2144117647</v>
      </c>
      <c r="F825" s="506">
        <f t="shared" si="49"/>
        <v>11893956.432352938</v>
      </c>
      <c r="G825" s="554">
        <f t="shared" si="50"/>
        <v>2199686.1750842421</v>
      </c>
      <c r="H825" s="555">
        <f t="shared" si="51"/>
        <v>2199686.1750842421</v>
      </c>
      <c r="I825" s="552">
        <f t="shared" si="52"/>
        <v>0</v>
      </c>
      <c r="J825" s="552"/>
      <c r="K825" s="572">
        <v>2058911</v>
      </c>
      <c r="L825" s="556"/>
      <c r="M825" s="572">
        <v>2058911</v>
      </c>
      <c r="N825" s="556"/>
      <c r="O825" s="556"/>
    </row>
    <row r="826" spans="2:15">
      <c r="C826" s="974">
        <f>IF(D815="","-",+C825+1)</f>
        <v>2019</v>
      </c>
      <c r="D826" s="506">
        <f t="shared" si="48"/>
        <v>11893956.432352938</v>
      </c>
      <c r="E826" s="549">
        <f t="shared" si="53"/>
        <v>396465.2144117647</v>
      </c>
      <c r="F826" s="506">
        <f t="shared" si="49"/>
        <v>11497491.217941172</v>
      </c>
      <c r="G826" s="554">
        <f t="shared" si="50"/>
        <v>2140564.1763736689</v>
      </c>
      <c r="H826" s="555">
        <f t="shared" si="51"/>
        <v>2140564.1763736689</v>
      </c>
      <c r="I826" s="552">
        <f t="shared" si="52"/>
        <v>0</v>
      </c>
      <c r="J826" s="552"/>
      <c r="K826" s="572">
        <v>2110912.8330995957</v>
      </c>
      <c r="L826" s="556"/>
      <c r="M826" s="572">
        <v>2110912.8330995957</v>
      </c>
      <c r="N826" s="556"/>
      <c r="O826" s="556"/>
    </row>
    <row r="827" spans="2:15">
      <c r="C827" s="974">
        <f>IF(D815="","-",+C826+1)</f>
        <v>2020</v>
      </c>
      <c r="D827" s="506">
        <f t="shared" si="48"/>
        <v>11497491.217941172</v>
      </c>
      <c r="E827" s="549">
        <f t="shared" si="53"/>
        <v>396465.2144117647</v>
      </c>
      <c r="F827" s="506">
        <f t="shared" si="49"/>
        <v>11101026.003529407</v>
      </c>
      <c r="G827" s="554">
        <f t="shared" si="50"/>
        <v>2081442.1776630955</v>
      </c>
      <c r="H827" s="555">
        <f t="shared" si="51"/>
        <v>2081442.1776630955</v>
      </c>
      <c r="I827" s="552">
        <f t="shared" si="52"/>
        <v>0</v>
      </c>
      <c r="J827" s="552"/>
      <c r="K827" s="572">
        <v>2211158.8767514657</v>
      </c>
      <c r="L827" s="556"/>
      <c r="M827" s="572">
        <v>2211158.8767514657</v>
      </c>
      <c r="N827" s="556"/>
      <c r="O827" s="556"/>
    </row>
    <row r="828" spans="2:15">
      <c r="C828" s="974">
        <f>IF(D815="","-",+C827+1)</f>
        <v>2021</v>
      </c>
      <c r="D828" s="506">
        <f t="shared" si="48"/>
        <v>11101026.003529407</v>
      </c>
      <c r="E828" s="549">
        <f t="shared" si="53"/>
        <v>396465.2144117647</v>
      </c>
      <c r="F828" s="506">
        <f t="shared" si="49"/>
        <v>10704560.789117642</v>
      </c>
      <c r="G828" s="554">
        <f t="shared" si="50"/>
        <v>2022320.1789525226</v>
      </c>
      <c r="H828" s="555">
        <f t="shared" si="51"/>
        <v>2022320.1789525226</v>
      </c>
      <c r="I828" s="552">
        <f t="shared" si="52"/>
        <v>0</v>
      </c>
      <c r="J828" s="552"/>
      <c r="K828" s="572">
        <v>1996356.4760269849</v>
      </c>
      <c r="L828" s="556"/>
      <c r="M828" s="572">
        <v>1996356.4760269849</v>
      </c>
      <c r="N828" s="556"/>
      <c r="O828" s="556"/>
    </row>
    <row r="829" spans="2:15">
      <c r="C829" s="974">
        <f>IF(D815="","-",+C828+1)</f>
        <v>2022</v>
      </c>
      <c r="D829" s="506">
        <f t="shared" si="48"/>
        <v>10704560.789117642</v>
      </c>
      <c r="E829" s="549">
        <f t="shared" si="53"/>
        <v>396465.2144117647</v>
      </c>
      <c r="F829" s="506">
        <f t="shared" si="49"/>
        <v>10308095.574705876</v>
      </c>
      <c r="G829" s="554">
        <f t="shared" si="50"/>
        <v>1963198.1802419494</v>
      </c>
      <c r="H829" s="555">
        <f t="shared" si="51"/>
        <v>1963198.1802419494</v>
      </c>
      <c r="I829" s="552">
        <f t="shared" si="52"/>
        <v>0</v>
      </c>
      <c r="J829" s="552"/>
      <c r="K829" s="572">
        <v>1993183.2873161556</v>
      </c>
      <c r="L829" s="556"/>
      <c r="M829" s="572">
        <v>1993183.2873161556</v>
      </c>
      <c r="N829" s="556"/>
      <c r="O829" s="556"/>
    </row>
    <row r="830" spans="2:15">
      <c r="C830" s="974">
        <f>IF(D815="","-",+C829+1)</f>
        <v>2023</v>
      </c>
      <c r="D830" s="506">
        <f t="shared" si="48"/>
        <v>10308095.574705876</v>
      </c>
      <c r="E830" s="549">
        <f t="shared" si="53"/>
        <v>396465.2144117647</v>
      </c>
      <c r="F830" s="506">
        <f t="shared" si="49"/>
        <v>9911630.3602941111</v>
      </c>
      <c r="G830" s="554">
        <f t="shared" si="50"/>
        <v>1904076.1815313762</v>
      </c>
      <c r="H830" s="555">
        <f t="shared" si="51"/>
        <v>1904076.1815313762</v>
      </c>
      <c r="I830" s="552">
        <f t="shared" si="52"/>
        <v>0</v>
      </c>
      <c r="J830" s="552"/>
      <c r="K830" s="572">
        <v>1942307.8563984209</v>
      </c>
      <c r="L830" s="556"/>
      <c r="M830" s="572">
        <v>1942307.8563984209</v>
      </c>
      <c r="N830" s="556"/>
      <c r="O830" s="556"/>
    </row>
    <row r="831" spans="2:15">
      <c r="C831" s="548">
        <f>IF(D815="","-",+C830+1)</f>
        <v>2024</v>
      </c>
      <c r="D831" s="506">
        <f t="shared" si="48"/>
        <v>9911630.3602941111</v>
      </c>
      <c r="E831" s="549">
        <f t="shared" si="53"/>
        <v>396465.2144117647</v>
      </c>
      <c r="F831" s="506">
        <f t="shared" si="49"/>
        <v>9515165.1458823457</v>
      </c>
      <c r="G831" s="554">
        <f t="shared" si="50"/>
        <v>1844954.182820803</v>
      </c>
      <c r="H831" s="555">
        <f t="shared" si="51"/>
        <v>1844954.182820803</v>
      </c>
      <c r="I831" s="552">
        <f t="shared" si="52"/>
        <v>0</v>
      </c>
      <c r="J831" s="552"/>
      <c r="K831" s="572">
        <v>1854885.3111609032</v>
      </c>
      <c r="L831" s="556"/>
      <c r="M831" s="572">
        <v>1854885.3111609032</v>
      </c>
      <c r="N831" s="556"/>
      <c r="O831" s="556"/>
    </row>
    <row r="832" spans="2:15">
      <c r="C832" s="548">
        <f>IF(D815="","-",+C831+1)</f>
        <v>2025</v>
      </c>
      <c r="D832" s="506">
        <f t="shared" si="48"/>
        <v>9515165.1458823457</v>
      </c>
      <c r="E832" s="549">
        <f t="shared" si="53"/>
        <v>396465.2144117647</v>
      </c>
      <c r="F832" s="506">
        <f t="shared" si="49"/>
        <v>9118699.9314705804</v>
      </c>
      <c r="G832" s="554">
        <f t="shared" si="50"/>
        <v>1785832.1841102298</v>
      </c>
      <c r="H832" s="555">
        <f t="shared" si="51"/>
        <v>1785832.1841102298</v>
      </c>
      <c r="I832" s="552">
        <f t="shared" si="52"/>
        <v>0</v>
      </c>
      <c r="J832" s="552"/>
      <c r="K832" s="572">
        <v>1791918.4915008433</v>
      </c>
      <c r="L832" s="556"/>
      <c r="M832" s="572">
        <v>1791918.4915008433</v>
      </c>
      <c r="N832" s="556"/>
      <c r="O832" s="556"/>
    </row>
    <row r="833" spans="3:15">
      <c r="C833" s="955">
        <f>IF(D815="","-",+C832+1)</f>
        <v>2026</v>
      </c>
      <c r="D833" s="506">
        <f t="shared" si="48"/>
        <v>9118699.9314705804</v>
      </c>
      <c r="E833" s="549">
        <f t="shared" si="53"/>
        <v>396465.2144117647</v>
      </c>
      <c r="F833" s="506">
        <f t="shared" si="49"/>
        <v>8722234.7170588151</v>
      </c>
      <c r="G833" s="554">
        <f t="shared" si="50"/>
        <v>1726710.1853996569</v>
      </c>
      <c r="H833" s="555">
        <f t="shared" si="51"/>
        <v>1726710.1853996569</v>
      </c>
      <c r="I833" s="552">
        <f t="shared" si="52"/>
        <v>0</v>
      </c>
      <c r="J833" s="552"/>
      <c r="K833" s="572"/>
      <c r="L833" s="556"/>
      <c r="M833" s="572"/>
      <c r="N833" s="557"/>
      <c r="O833" s="556"/>
    </row>
    <row r="834" spans="3:15">
      <c r="C834" s="548">
        <f>IF(D815="","-",+C833+1)</f>
        <v>2027</v>
      </c>
      <c r="D834" s="506">
        <f t="shared" si="48"/>
        <v>8722234.7170588151</v>
      </c>
      <c r="E834" s="549">
        <f t="shared" si="53"/>
        <v>396465.2144117647</v>
      </c>
      <c r="F834" s="506">
        <f t="shared" si="49"/>
        <v>8325769.5026470507</v>
      </c>
      <c r="G834" s="554">
        <f t="shared" si="50"/>
        <v>1667588.1866890837</v>
      </c>
      <c r="H834" s="555">
        <f t="shared" si="51"/>
        <v>1667588.1866890837</v>
      </c>
      <c r="I834" s="552">
        <f t="shared" si="52"/>
        <v>0</v>
      </c>
      <c r="J834" s="552"/>
      <c r="K834" s="572"/>
      <c r="L834" s="556"/>
      <c r="M834" s="572"/>
      <c r="N834" s="556"/>
      <c r="O834" s="556"/>
    </row>
    <row r="835" spans="3:15">
      <c r="C835" s="548">
        <f>IF(D815="","-",+C834+1)</f>
        <v>2028</v>
      </c>
      <c r="D835" s="506">
        <f t="shared" si="48"/>
        <v>8325769.5026470507</v>
      </c>
      <c r="E835" s="549">
        <f t="shared" si="53"/>
        <v>396465.2144117647</v>
      </c>
      <c r="F835" s="506">
        <f t="shared" si="49"/>
        <v>7929304.2882352863</v>
      </c>
      <c r="G835" s="554">
        <f t="shared" si="50"/>
        <v>1608466.1879785107</v>
      </c>
      <c r="H835" s="555">
        <f t="shared" si="51"/>
        <v>1608466.1879785107</v>
      </c>
      <c r="I835" s="552">
        <f t="shared" si="52"/>
        <v>0</v>
      </c>
      <c r="J835" s="552"/>
      <c r="K835" s="572"/>
      <c r="L835" s="556"/>
      <c r="M835" s="572"/>
      <c r="N835" s="556"/>
      <c r="O835" s="556"/>
    </row>
    <row r="836" spans="3:15">
      <c r="C836" s="548">
        <f>IF(D815="","-",+C835+1)</f>
        <v>2029</v>
      </c>
      <c r="D836" s="506">
        <f t="shared" si="48"/>
        <v>7929304.2882352863</v>
      </c>
      <c r="E836" s="549">
        <f t="shared" si="53"/>
        <v>396465.2144117647</v>
      </c>
      <c r="F836" s="506">
        <f t="shared" si="49"/>
        <v>7532839.0738235218</v>
      </c>
      <c r="G836" s="554">
        <f t="shared" si="50"/>
        <v>1549344.1892679378</v>
      </c>
      <c r="H836" s="555">
        <f t="shared" si="51"/>
        <v>1549344.1892679378</v>
      </c>
      <c r="I836" s="552">
        <f t="shared" si="52"/>
        <v>0</v>
      </c>
      <c r="J836" s="552"/>
      <c r="K836" s="572"/>
      <c r="L836" s="556"/>
      <c r="M836" s="572"/>
      <c r="N836" s="556"/>
      <c r="O836" s="556"/>
    </row>
    <row r="837" spans="3:15">
      <c r="C837" s="548">
        <f>IF(D815="","-",+C836+1)</f>
        <v>2030</v>
      </c>
      <c r="D837" s="506">
        <f t="shared" si="48"/>
        <v>7532839.0738235218</v>
      </c>
      <c r="E837" s="549">
        <f t="shared" si="53"/>
        <v>396465.2144117647</v>
      </c>
      <c r="F837" s="506">
        <f t="shared" si="49"/>
        <v>7136373.8594117574</v>
      </c>
      <c r="G837" s="554">
        <f t="shared" si="50"/>
        <v>1490222.1905573648</v>
      </c>
      <c r="H837" s="555">
        <f t="shared" si="51"/>
        <v>1490222.1905573648</v>
      </c>
      <c r="I837" s="552">
        <f t="shared" si="52"/>
        <v>0</v>
      </c>
      <c r="J837" s="552"/>
      <c r="K837" s="572"/>
      <c r="L837" s="556"/>
      <c r="M837" s="572"/>
      <c r="N837" s="556"/>
      <c r="O837" s="556"/>
    </row>
    <row r="838" spans="3:15">
      <c r="C838" s="548">
        <f>IF(D815="","-",+C837+1)</f>
        <v>2031</v>
      </c>
      <c r="D838" s="506">
        <f t="shared" si="48"/>
        <v>7136373.8594117574</v>
      </c>
      <c r="E838" s="549">
        <f t="shared" si="53"/>
        <v>396465.2144117647</v>
      </c>
      <c r="F838" s="506">
        <f t="shared" si="49"/>
        <v>6739908.644999993</v>
      </c>
      <c r="G838" s="554">
        <f t="shared" si="50"/>
        <v>1431100.1918467917</v>
      </c>
      <c r="H838" s="555">
        <f t="shared" si="51"/>
        <v>1431100.1918467917</v>
      </c>
      <c r="I838" s="552">
        <f t="shared" si="52"/>
        <v>0</v>
      </c>
      <c r="J838" s="552"/>
      <c r="K838" s="572"/>
      <c r="L838" s="556"/>
      <c r="M838" s="572"/>
      <c r="N838" s="556"/>
      <c r="O838" s="556"/>
    </row>
    <row r="839" spans="3:15">
      <c r="C839" s="548">
        <f>IF(D815="","-",+C838+1)</f>
        <v>2032</v>
      </c>
      <c r="D839" s="506">
        <f t="shared" si="48"/>
        <v>6739908.644999993</v>
      </c>
      <c r="E839" s="549">
        <f t="shared" si="53"/>
        <v>396465.2144117647</v>
      </c>
      <c r="F839" s="506">
        <f t="shared" si="49"/>
        <v>6343443.4305882286</v>
      </c>
      <c r="G839" s="554">
        <f t="shared" si="50"/>
        <v>1371978.1931362189</v>
      </c>
      <c r="H839" s="555">
        <f t="shared" si="51"/>
        <v>1371978.1931362189</v>
      </c>
      <c r="I839" s="552">
        <f t="shared" si="52"/>
        <v>0</v>
      </c>
      <c r="J839" s="552"/>
      <c r="K839" s="572"/>
      <c r="L839" s="556"/>
      <c r="M839" s="572"/>
      <c r="N839" s="556"/>
      <c r="O839" s="556"/>
    </row>
    <row r="840" spans="3:15">
      <c r="C840" s="548">
        <f>IF(D815="","-",+C839+1)</f>
        <v>2033</v>
      </c>
      <c r="D840" s="506">
        <f t="shared" si="48"/>
        <v>6343443.4305882286</v>
      </c>
      <c r="E840" s="549">
        <f t="shared" si="53"/>
        <v>396465.2144117647</v>
      </c>
      <c r="F840" s="506">
        <f t="shared" si="49"/>
        <v>5946978.2161764642</v>
      </c>
      <c r="G840" s="554">
        <f t="shared" si="50"/>
        <v>1312856.1944256458</v>
      </c>
      <c r="H840" s="555">
        <f t="shared" si="51"/>
        <v>1312856.1944256458</v>
      </c>
      <c r="I840" s="552">
        <f t="shared" si="52"/>
        <v>0</v>
      </c>
      <c r="J840" s="552"/>
      <c r="K840" s="572"/>
      <c r="L840" s="556"/>
      <c r="M840" s="572"/>
      <c r="N840" s="556"/>
      <c r="O840" s="556"/>
    </row>
    <row r="841" spans="3:15">
      <c r="C841" s="548">
        <f>IF(D815="","-",+C840+1)</f>
        <v>2034</v>
      </c>
      <c r="D841" s="506">
        <f t="shared" si="48"/>
        <v>5946978.2161764642</v>
      </c>
      <c r="E841" s="549">
        <f t="shared" si="53"/>
        <v>396465.2144117647</v>
      </c>
      <c r="F841" s="506">
        <f t="shared" si="49"/>
        <v>5550513.0017646998</v>
      </c>
      <c r="G841" s="554">
        <f t="shared" si="50"/>
        <v>1253734.1957150728</v>
      </c>
      <c r="H841" s="555">
        <f t="shared" si="51"/>
        <v>1253734.1957150728</v>
      </c>
      <c r="I841" s="552">
        <f t="shared" si="52"/>
        <v>0</v>
      </c>
      <c r="J841" s="552"/>
      <c r="K841" s="572"/>
      <c r="L841" s="556"/>
      <c r="M841" s="572"/>
      <c r="N841" s="556"/>
      <c r="O841" s="556"/>
    </row>
    <row r="842" spans="3:15">
      <c r="C842" s="548">
        <f>IF(D815="","-",+C841+1)</f>
        <v>2035</v>
      </c>
      <c r="D842" s="506">
        <f t="shared" si="48"/>
        <v>5550513.0017646998</v>
      </c>
      <c r="E842" s="549">
        <f t="shared" si="53"/>
        <v>396465.2144117647</v>
      </c>
      <c r="F842" s="506">
        <f t="shared" si="49"/>
        <v>5154047.7873529354</v>
      </c>
      <c r="G842" s="554">
        <f t="shared" si="50"/>
        <v>1194612.1970044998</v>
      </c>
      <c r="H842" s="555">
        <f t="shared" si="51"/>
        <v>1194612.1970044998</v>
      </c>
      <c r="I842" s="552">
        <f t="shared" si="52"/>
        <v>0</v>
      </c>
      <c r="J842" s="552"/>
      <c r="K842" s="572"/>
      <c r="L842" s="556"/>
      <c r="M842" s="572"/>
      <c r="N842" s="556"/>
      <c r="O842" s="556"/>
    </row>
    <row r="843" spans="3:15">
      <c r="C843" s="548">
        <f>IF(D815="","-",+C842+1)</f>
        <v>2036</v>
      </c>
      <c r="D843" s="506">
        <f t="shared" si="48"/>
        <v>5154047.7873529354</v>
      </c>
      <c r="E843" s="549">
        <f t="shared" si="53"/>
        <v>396465.2144117647</v>
      </c>
      <c r="F843" s="506">
        <f t="shared" si="49"/>
        <v>4757582.572941171</v>
      </c>
      <c r="G843" s="554">
        <f t="shared" si="50"/>
        <v>1135490.1982939269</v>
      </c>
      <c r="H843" s="555">
        <f t="shared" si="51"/>
        <v>1135490.1982939269</v>
      </c>
      <c r="I843" s="552">
        <f t="shared" si="52"/>
        <v>0</v>
      </c>
      <c r="J843" s="552"/>
      <c r="K843" s="572"/>
      <c r="L843" s="556"/>
      <c r="M843" s="572"/>
      <c r="N843" s="556"/>
      <c r="O843" s="556"/>
    </row>
    <row r="844" spans="3:15">
      <c r="C844" s="548">
        <f>IF(D815="","-",+C843+1)</f>
        <v>2037</v>
      </c>
      <c r="D844" s="506">
        <f t="shared" si="48"/>
        <v>4757582.572941171</v>
      </c>
      <c r="E844" s="549">
        <f t="shared" si="53"/>
        <v>396465.2144117647</v>
      </c>
      <c r="F844" s="506">
        <f t="shared" si="49"/>
        <v>4361117.3585294066</v>
      </c>
      <c r="G844" s="554">
        <f t="shared" si="50"/>
        <v>1076368.1995833537</v>
      </c>
      <c r="H844" s="555">
        <f t="shared" si="51"/>
        <v>1076368.1995833537</v>
      </c>
      <c r="I844" s="552">
        <f t="shared" si="52"/>
        <v>0</v>
      </c>
      <c r="J844" s="552"/>
      <c r="K844" s="572"/>
      <c r="L844" s="556"/>
      <c r="M844" s="572"/>
      <c r="N844" s="556"/>
      <c r="O844" s="556"/>
    </row>
    <row r="845" spans="3:15">
      <c r="C845" s="548">
        <f>IF(D815="","-",+C844+1)</f>
        <v>2038</v>
      </c>
      <c r="D845" s="506">
        <f t="shared" si="48"/>
        <v>4361117.3585294066</v>
      </c>
      <c r="E845" s="549">
        <f t="shared" si="53"/>
        <v>396465.2144117647</v>
      </c>
      <c r="F845" s="506">
        <f t="shared" si="49"/>
        <v>3964652.1441176417</v>
      </c>
      <c r="G845" s="554">
        <f t="shared" si="50"/>
        <v>1017246.2008727808</v>
      </c>
      <c r="H845" s="555">
        <f t="shared" si="51"/>
        <v>1017246.2008727808</v>
      </c>
      <c r="I845" s="552">
        <f t="shared" si="52"/>
        <v>0</v>
      </c>
      <c r="J845" s="552"/>
      <c r="K845" s="572"/>
      <c r="L845" s="556"/>
      <c r="M845" s="572"/>
      <c r="N845" s="556"/>
      <c r="O845" s="556"/>
    </row>
    <row r="846" spans="3:15">
      <c r="C846" s="548">
        <f>IF(D815="","-",+C845+1)</f>
        <v>2039</v>
      </c>
      <c r="D846" s="506">
        <f t="shared" si="48"/>
        <v>3964652.1441176417</v>
      </c>
      <c r="E846" s="549">
        <f t="shared" si="53"/>
        <v>396465.2144117647</v>
      </c>
      <c r="F846" s="506">
        <f t="shared" si="49"/>
        <v>3568186.9297058769</v>
      </c>
      <c r="G846" s="554">
        <f t="shared" si="50"/>
        <v>958124.2021622078</v>
      </c>
      <c r="H846" s="555">
        <f t="shared" si="51"/>
        <v>958124.2021622078</v>
      </c>
      <c r="I846" s="552">
        <f t="shared" si="52"/>
        <v>0</v>
      </c>
      <c r="J846" s="552"/>
      <c r="K846" s="572"/>
      <c r="L846" s="556"/>
      <c r="M846" s="572"/>
      <c r="N846" s="556"/>
      <c r="O846" s="556"/>
    </row>
    <row r="847" spans="3:15">
      <c r="C847" s="548">
        <f>IF(D815="","-",+C846+1)</f>
        <v>2040</v>
      </c>
      <c r="D847" s="506">
        <f t="shared" si="48"/>
        <v>3568186.9297058769</v>
      </c>
      <c r="E847" s="549">
        <f t="shared" si="53"/>
        <v>396465.2144117647</v>
      </c>
      <c r="F847" s="506">
        <f t="shared" si="49"/>
        <v>3171721.715294112</v>
      </c>
      <c r="G847" s="554">
        <f t="shared" si="50"/>
        <v>899002.20345163462</v>
      </c>
      <c r="H847" s="555">
        <f t="shared" si="51"/>
        <v>899002.20345163462</v>
      </c>
      <c r="I847" s="552">
        <f t="shared" si="52"/>
        <v>0</v>
      </c>
      <c r="J847" s="552"/>
      <c r="K847" s="572"/>
      <c r="L847" s="556"/>
      <c r="M847" s="572"/>
      <c r="N847" s="556"/>
      <c r="O847" s="556"/>
    </row>
    <row r="848" spans="3:15">
      <c r="C848" s="548">
        <f>IF(D815="","-",+C847+1)</f>
        <v>2041</v>
      </c>
      <c r="D848" s="506">
        <f t="shared" si="48"/>
        <v>3171721.715294112</v>
      </c>
      <c r="E848" s="549">
        <f t="shared" si="53"/>
        <v>396465.2144117647</v>
      </c>
      <c r="F848" s="506">
        <f t="shared" si="49"/>
        <v>2775256.5008823471</v>
      </c>
      <c r="G848" s="554">
        <f t="shared" si="50"/>
        <v>839880.20474106167</v>
      </c>
      <c r="H848" s="555">
        <f t="shared" si="51"/>
        <v>839880.20474106167</v>
      </c>
      <c r="I848" s="552">
        <f t="shared" si="52"/>
        <v>0</v>
      </c>
      <c r="J848" s="552"/>
      <c r="K848" s="572"/>
      <c r="L848" s="556"/>
      <c r="M848" s="572"/>
      <c r="N848" s="556"/>
      <c r="O848" s="556"/>
    </row>
    <row r="849" spans="3:15">
      <c r="C849" s="548">
        <f>IF(D815="","-",+C848+1)</f>
        <v>2042</v>
      </c>
      <c r="D849" s="506">
        <f t="shared" si="48"/>
        <v>2775256.5008823471</v>
      </c>
      <c r="E849" s="549">
        <f t="shared" si="53"/>
        <v>396465.2144117647</v>
      </c>
      <c r="F849" s="506">
        <f t="shared" si="49"/>
        <v>2378791.2864705822</v>
      </c>
      <c r="G849" s="550">
        <f t="shared" si="50"/>
        <v>780758.20603048848</v>
      </c>
      <c r="H849" s="555">
        <f t="shared" si="51"/>
        <v>780758.20603048848</v>
      </c>
      <c r="I849" s="552">
        <f t="shared" si="52"/>
        <v>0</v>
      </c>
      <c r="J849" s="552"/>
      <c r="K849" s="572"/>
      <c r="L849" s="556"/>
      <c r="M849" s="572"/>
      <c r="N849" s="556"/>
      <c r="O849" s="556"/>
    </row>
    <row r="850" spans="3:15">
      <c r="C850" s="548">
        <f>IF(D815="","-",+C849+1)</f>
        <v>2043</v>
      </c>
      <c r="D850" s="506">
        <f t="shared" si="48"/>
        <v>2378791.2864705822</v>
      </c>
      <c r="E850" s="549">
        <f t="shared" si="53"/>
        <v>396465.2144117647</v>
      </c>
      <c r="F850" s="506">
        <f t="shared" si="49"/>
        <v>1982326.0720588176</v>
      </c>
      <c r="G850" s="554">
        <f t="shared" si="50"/>
        <v>721636.20731991553</v>
      </c>
      <c r="H850" s="555">
        <f t="shared" si="51"/>
        <v>721636.20731991553</v>
      </c>
      <c r="I850" s="552">
        <f t="shared" si="52"/>
        <v>0</v>
      </c>
      <c r="J850" s="552"/>
      <c r="K850" s="572"/>
      <c r="L850" s="556"/>
      <c r="M850" s="572"/>
      <c r="N850" s="556"/>
      <c r="O850" s="556"/>
    </row>
    <row r="851" spans="3:15">
      <c r="C851" s="548">
        <f>IF(D815="","-",+C850+1)</f>
        <v>2044</v>
      </c>
      <c r="D851" s="506">
        <f t="shared" si="48"/>
        <v>1982326.0720588176</v>
      </c>
      <c r="E851" s="549">
        <f t="shared" si="53"/>
        <v>396465.2144117647</v>
      </c>
      <c r="F851" s="506">
        <f t="shared" si="49"/>
        <v>1585860.857647053</v>
      </c>
      <c r="G851" s="554">
        <f t="shared" si="50"/>
        <v>662514.20860934246</v>
      </c>
      <c r="H851" s="555">
        <f t="shared" si="51"/>
        <v>662514.20860934246</v>
      </c>
      <c r="I851" s="552">
        <f t="shared" si="52"/>
        <v>0</v>
      </c>
      <c r="J851" s="552"/>
      <c r="K851" s="572"/>
      <c r="L851" s="556"/>
      <c r="M851" s="572"/>
      <c r="N851" s="556"/>
      <c r="O851" s="556"/>
    </row>
    <row r="852" spans="3:15">
      <c r="C852" s="548">
        <f>IF(D815="","-",+C851+1)</f>
        <v>2045</v>
      </c>
      <c r="D852" s="506">
        <f t="shared" si="48"/>
        <v>1585860.857647053</v>
      </c>
      <c r="E852" s="549">
        <f t="shared" si="53"/>
        <v>396465.2144117647</v>
      </c>
      <c r="F852" s="506">
        <f t="shared" si="49"/>
        <v>1189395.6432352883</v>
      </c>
      <c r="G852" s="554">
        <f t="shared" si="50"/>
        <v>603392.20989876951</v>
      </c>
      <c r="H852" s="555">
        <f t="shared" si="51"/>
        <v>603392.20989876951</v>
      </c>
      <c r="I852" s="552">
        <f t="shared" si="52"/>
        <v>0</v>
      </c>
      <c r="J852" s="552"/>
      <c r="K852" s="572"/>
      <c r="L852" s="556"/>
      <c r="M852" s="572"/>
      <c r="N852" s="556"/>
      <c r="O852" s="556"/>
    </row>
    <row r="853" spans="3:15">
      <c r="C853" s="548">
        <f>IF(D815="","-",+C852+1)</f>
        <v>2046</v>
      </c>
      <c r="D853" s="506">
        <f t="shared" si="48"/>
        <v>1189395.6432352883</v>
      </c>
      <c r="E853" s="549">
        <f t="shared" si="53"/>
        <v>396465.2144117647</v>
      </c>
      <c r="F853" s="506">
        <f t="shared" si="49"/>
        <v>792930.42882352369</v>
      </c>
      <c r="G853" s="554">
        <f t="shared" si="50"/>
        <v>544270.21118819644</v>
      </c>
      <c r="H853" s="555">
        <f t="shared" si="51"/>
        <v>544270.21118819644</v>
      </c>
      <c r="I853" s="552">
        <f t="shared" si="52"/>
        <v>0</v>
      </c>
      <c r="J853" s="552"/>
      <c r="K853" s="572"/>
      <c r="L853" s="556"/>
      <c r="M853" s="572"/>
      <c r="N853" s="556"/>
      <c r="O853" s="556"/>
    </row>
    <row r="854" spans="3:15">
      <c r="C854" s="548">
        <f>IF(D815="","-",+C853+1)</f>
        <v>2047</v>
      </c>
      <c r="D854" s="506">
        <f t="shared" si="48"/>
        <v>792930.42882352369</v>
      </c>
      <c r="E854" s="549">
        <f t="shared" si="53"/>
        <v>396465.2144117647</v>
      </c>
      <c r="F854" s="506">
        <f t="shared" si="49"/>
        <v>396465.21441175899</v>
      </c>
      <c r="G854" s="554">
        <f t="shared" si="50"/>
        <v>485148.21247762343</v>
      </c>
      <c r="H854" s="555">
        <f t="shared" si="51"/>
        <v>485148.21247762343</v>
      </c>
      <c r="I854" s="552">
        <f t="shared" si="52"/>
        <v>0</v>
      </c>
      <c r="J854" s="552"/>
      <c r="K854" s="572"/>
      <c r="L854" s="556"/>
      <c r="M854" s="572"/>
      <c r="N854" s="556"/>
      <c r="O854" s="556"/>
    </row>
    <row r="855" spans="3:15">
      <c r="C855" s="548">
        <f>IF(D815="","-",+C854+1)</f>
        <v>2048</v>
      </c>
      <c r="D855" s="506">
        <f t="shared" si="48"/>
        <v>396465.21441175899</v>
      </c>
      <c r="E855" s="549">
        <f t="shared" si="53"/>
        <v>396465.21441175899</v>
      </c>
      <c r="F855" s="506">
        <f t="shared" si="49"/>
        <v>0</v>
      </c>
      <c r="G855" s="554">
        <f t="shared" si="50"/>
        <v>426026.21376704506</v>
      </c>
      <c r="H855" s="555">
        <f t="shared" si="51"/>
        <v>426026.21376704506</v>
      </c>
      <c r="I855" s="552">
        <f t="shared" si="52"/>
        <v>0</v>
      </c>
      <c r="J855" s="552"/>
      <c r="K855" s="572"/>
      <c r="L855" s="556"/>
      <c r="M855" s="572"/>
      <c r="N855" s="556"/>
      <c r="O855" s="556"/>
    </row>
    <row r="856" spans="3:15">
      <c r="C856" s="548">
        <f>IF(D815="","-",+C855+1)</f>
        <v>2049</v>
      </c>
      <c r="D856" s="506">
        <f t="shared" si="48"/>
        <v>0</v>
      </c>
      <c r="E856" s="549">
        <f t="shared" si="53"/>
        <v>0</v>
      </c>
      <c r="F856" s="506">
        <f t="shared" si="49"/>
        <v>0</v>
      </c>
      <c r="G856" s="554">
        <f t="shared" si="50"/>
        <v>0</v>
      </c>
      <c r="H856" s="555">
        <f t="shared" si="51"/>
        <v>0</v>
      </c>
      <c r="I856" s="552">
        <f t="shared" si="52"/>
        <v>0</v>
      </c>
      <c r="J856" s="552"/>
      <c r="K856" s="572"/>
      <c r="L856" s="556"/>
      <c r="M856" s="572"/>
      <c r="N856" s="556"/>
      <c r="O856" s="556"/>
    </row>
    <row r="857" spans="3:15">
      <c r="C857" s="548">
        <f>IF(D815="","-",+C856+1)</f>
        <v>2050</v>
      </c>
      <c r="D857" s="506">
        <f t="shared" si="48"/>
        <v>0</v>
      </c>
      <c r="E857" s="549">
        <f t="shared" si="53"/>
        <v>0</v>
      </c>
      <c r="F857" s="506">
        <f t="shared" si="49"/>
        <v>0</v>
      </c>
      <c r="G857" s="554">
        <f t="shared" si="50"/>
        <v>0</v>
      </c>
      <c r="H857" s="555">
        <f t="shared" si="51"/>
        <v>0</v>
      </c>
      <c r="I857" s="552">
        <f t="shared" si="52"/>
        <v>0</v>
      </c>
      <c r="J857" s="552"/>
      <c r="K857" s="572"/>
      <c r="L857" s="556"/>
      <c r="M857" s="572"/>
      <c r="N857" s="556"/>
      <c r="O857" s="556"/>
    </row>
    <row r="858" spans="3:15">
      <c r="C858" s="548">
        <f>IF(D815="","-",+C857+1)</f>
        <v>2051</v>
      </c>
      <c r="D858" s="506">
        <f t="shared" si="48"/>
        <v>0</v>
      </c>
      <c r="E858" s="549">
        <f t="shared" si="53"/>
        <v>0</v>
      </c>
      <c r="F858" s="506">
        <f t="shared" si="49"/>
        <v>0</v>
      </c>
      <c r="G858" s="554">
        <f t="shared" si="50"/>
        <v>0</v>
      </c>
      <c r="H858" s="555">
        <f t="shared" si="51"/>
        <v>0</v>
      </c>
      <c r="I858" s="552">
        <f t="shared" si="52"/>
        <v>0</v>
      </c>
      <c r="J858" s="552"/>
      <c r="K858" s="572"/>
      <c r="L858" s="556"/>
      <c r="M858" s="572"/>
      <c r="N858" s="556"/>
      <c r="O858" s="556"/>
    </row>
    <row r="859" spans="3:15">
      <c r="C859" s="548">
        <f>IF(D815="","-",+C858+1)</f>
        <v>2052</v>
      </c>
      <c r="D859" s="506">
        <f t="shared" si="48"/>
        <v>0</v>
      </c>
      <c r="E859" s="549">
        <f t="shared" si="53"/>
        <v>0</v>
      </c>
      <c r="F859" s="506">
        <f t="shared" si="49"/>
        <v>0</v>
      </c>
      <c r="G859" s="554">
        <f t="shared" si="50"/>
        <v>0</v>
      </c>
      <c r="H859" s="555">
        <f t="shared" si="51"/>
        <v>0</v>
      </c>
      <c r="I859" s="552">
        <f t="shared" si="52"/>
        <v>0</v>
      </c>
      <c r="J859" s="552"/>
      <c r="K859" s="572"/>
      <c r="L859" s="556"/>
      <c r="M859" s="572"/>
      <c r="N859" s="556"/>
      <c r="O859" s="556"/>
    </row>
    <row r="860" spans="3:15">
      <c r="C860" s="548">
        <f>IF(D815="","-",+C859+1)</f>
        <v>2053</v>
      </c>
      <c r="D860" s="506">
        <f t="shared" si="48"/>
        <v>0</v>
      </c>
      <c r="E860" s="549">
        <f t="shared" si="53"/>
        <v>0</v>
      </c>
      <c r="F860" s="506">
        <f t="shared" si="49"/>
        <v>0</v>
      </c>
      <c r="G860" s="554">
        <f t="shared" si="50"/>
        <v>0</v>
      </c>
      <c r="H860" s="555">
        <f t="shared" si="51"/>
        <v>0</v>
      </c>
      <c r="I860" s="552">
        <f t="shared" si="52"/>
        <v>0</v>
      </c>
      <c r="J860" s="552"/>
      <c r="K860" s="572"/>
      <c r="L860" s="556"/>
      <c r="M860" s="572"/>
      <c r="N860" s="556"/>
      <c r="O860" s="556"/>
    </row>
    <row r="861" spans="3:15">
      <c r="C861" s="548">
        <f>IF(D815="","-",+C860+1)</f>
        <v>2054</v>
      </c>
      <c r="D861" s="506">
        <f t="shared" si="48"/>
        <v>0</v>
      </c>
      <c r="E861" s="549">
        <f t="shared" si="53"/>
        <v>0</v>
      </c>
      <c r="F861" s="506">
        <f t="shared" si="49"/>
        <v>0</v>
      </c>
      <c r="G861" s="554">
        <f t="shared" si="50"/>
        <v>0</v>
      </c>
      <c r="H861" s="555">
        <f t="shared" si="51"/>
        <v>0</v>
      </c>
      <c r="I861" s="552">
        <f t="shared" si="52"/>
        <v>0</v>
      </c>
      <c r="J861" s="552"/>
      <c r="K861" s="572"/>
      <c r="L861" s="556"/>
      <c r="M861" s="572"/>
      <c r="N861" s="556"/>
      <c r="O861" s="556"/>
    </row>
    <row r="862" spans="3:15">
      <c r="C862" s="548">
        <f>IF(D815="","-",+C861+1)</f>
        <v>2055</v>
      </c>
      <c r="D862" s="506">
        <f t="shared" si="48"/>
        <v>0</v>
      </c>
      <c r="E862" s="549">
        <f t="shared" si="53"/>
        <v>0</v>
      </c>
      <c r="F862" s="506">
        <f t="shared" si="49"/>
        <v>0</v>
      </c>
      <c r="G862" s="554">
        <f t="shared" si="50"/>
        <v>0</v>
      </c>
      <c r="H862" s="555">
        <f t="shared" si="51"/>
        <v>0</v>
      </c>
      <c r="I862" s="552">
        <f t="shared" si="52"/>
        <v>0</v>
      </c>
      <c r="J862" s="552"/>
      <c r="K862" s="572"/>
      <c r="L862" s="556"/>
      <c r="M862" s="572"/>
      <c r="N862" s="556"/>
      <c r="O862" s="556"/>
    </row>
    <row r="863" spans="3:15">
      <c r="C863" s="548">
        <f>IF(D815="","-",+C862+1)</f>
        <v>2056</v>
      </c>
      <c r="D863" s="506">
        <f t="shared" si="48"/>
        <v>0</v>
      </c>
      <c r="E863" s="549">
        <f t="shared" si="53"/>
        <v>0</v>
      </c>
      <c r="F863" s="506">
        <f t="shared" si="49"/>
        <v>0</v>
      </c>
      <c r="G863" s="554">
        <f t="shared" si="50"/>
        <v>0</v>
      </c>
      <c r="H863" s="555">
        <f t="shared" si="51"/>
        <v>0</v>
      </c>
      <c r="I863" s="552">
        <f t="shared" si="52"/>
        <v>0</v>
      </c>
      <c r="J863" s="552"/>
      <c r="K863" s="572"/>
      <c r="L863" s="556"/>
      <c r="M863" s="572"/>
      <c r="N863" s="556"/>
      <c r="O863" s="556"/>
    </row>
    <row r="864" spans="3:15">
      <c r="C864" s="548">
        <f>IF(D815="","-",+C863+1)</f>
        <v>2057</v>
      </c>
      <c r="D864" s="506">
        <f t="shared" si="48"/>
        <v>0</v>
      </c>
      <c r="E864" s="549">
        <f t="shared" si="53"/>
        <v>0</v>
      </c>
      <c r="F864" s="506">
        <f t="shared" si="49"/>
        <v>0</v>
      </c>
      <c r="G864" s="554">
        <f t="shared" si="50"/>
        <v>0</v>
      </c>
      <c r="H864" s="555">
        <f t="shared" si="51"/>
        <v>0</v>
      </c>
      <c r="I864" s="552">
        <f t="shared" si="52"/>
        <v>0</v>
      </c>
      <c r="J864" s="552"/>
      <c r="K864" s="572"/>
      <c r="L864" s="556"/>
      <c r="M864" s="572"/>
      <c r="N864" s="556"/>
      <c r="O864" s="556"/>
    </row>
    <row r="865" spans="3:15">
      <c r="C865" s="548">
        <f>IF(D815="","-",+C864+1)</f>
        <v>2058</v>
      </c>
      <c r="D865" s="506">
        <f t="shared" si="48"/>
        <v>0</v>
      </c>
      <c r="E865" s="549">
        <f t="shared" si="53"/>
        <v>0</v>
      </c>
      <c r="F865" s="506">
        <f t="shared" si="49"/>
        <v>0</v>
      </c>
      <c r="G865" s="554">
        <f t="shared" si="50"/>
        <v>0</v>
      </c>
      <c r="H865" s="555">
        <f t="shared" si="51"/>
        <v>0</v>
      </c>
      <c r="I865" s="552">
        <f t="shared" si="52"/>
        <v>0</v>
      </c>
      <c r="J865" s="552"/>
      <c r="K865" s="572"/>
      <c r="L865" s="556"/>
      <c r="M865" s="572"/>
      <c r="N865" s="556"/>
      <c r="O865" s="556"/>
    </row>
    <row r="866" spans="3:15">
      <c r="C866" s="548">
        <f>IF(D815="","-",+C865+1)</f>
        <v>2059</v>
      </c>
      <c r="D866" s="506">
        <f t="shared" si="48"/>
        <v>0</v>
      </c>
      <c r="E866" s="549">
        <f t="shared" si="53"/>
        <v>0</v>
      </c>
      <c r="F866" s="506">
        <f t="shared" si="49"/>
        <v>0</v>
      </c>
      <c r="G866" s="554">
        <f t="shared" si="50"/>
        <v>0</v>
      </c>
      <c r="H866" s="555">
        <f t="shared" si="51"/>
        <v>0</v>
      </c>
      <c r="I866" s="552">
        <f t="shared" si="52"/>
        <v>0</v>
      </c>
      <c r="J866" s="552"/>
      <c r="K866" s="572"/>
      <c r="L866" s="556"/>
      <c r="M866" s="572"/>
      <c r="N866" s="556"/>
      <c r="O866" s="556"/>
    </row>
    <row r="867" spans="3:15">
      <c r="C867" s="548">
        <f>IF(D815="","-",+C866+1)</f>
        <v>2060</v>
      </c>
      <c r="D867" s="506">
        <f t="shared" si="48"/>
        <v>0</v>
      </c>
      <c r="E867" s="549">
        <f t="shared" si="53"/>
        <v>0</v>
      </c>
      <c r="F867" s="506">
        <f t="shared" si="49"/>
        <v>0</v>
      </c>
      <c r="G867" s="554">
        <f t="shared" si="50"/>
        <v>0</v>
      </c>
      <c r="H867" s="555">
        <f t="shared" si="51"/>
        <v>0</v>
      </c>
      <c r="I867" s="552">
        <f t="shared" si="52"/>
        <v>0</v>
      </c>
      <c r="J867" s="552"/>
      <c r="K867" s="572"/>
      <c r="L867" s="556"/>
      <c r="M867" s="572"/>
      <c r="N867" s="556"/>
      <c r="O867" s="556"/>
    </row>
    <row r="868" spans="3:15">
      <c r="C868" s="548">
        <f>IF(D815="","-",+C867+1)</f>
        <v>2061</v>
      </c>
      <c r="D868" s="506">
        <f t="shared" si="48"/>
        <v>0</v>
      </c>
      <c r="E868" s="549">
        <f t="shared" si="53"/>
        <v>0</v>
      </c>
      <c r="F868" s="506">
        <f t="shared" si="49"/>
        <v>0</v>
      </c>
      <c r="G868" s="554">
        <f t="shared" si="50"/>
        <v>0</v>
      </c>
      <c r="H868" s="555">
        <f t="shared" si="51"/>
        <v>0</v>
      </c>
      <c r="I868" s="552">
        <f t="shared" si="52"/>
        <v>0</v>
      </c>
      <c r="J868" s="552"/>
      <c r="K868" s="572"/>
      <c r="L868" s="556"/>
      <c r="M868" s="572"/>
      <c r="N868" s="556"/>
      <c r="O868" s="556"/>
    </row>
    <row r="869" spans="3:15">
      <c r="C869" s="548">
        <f>IF(D815="","-",+C868+1)</f>
        <v>2062</v>
      </c>
      <c r="D869" s="506">
        <f t="shared" si="48"/>
        <v>0</v>
      </c>
      <c r="E869" s="549">
        <f t="shared" si="53"/>
        <v>0</v>
      </c>
      <c r="F869" s="506">
        <f t="shared" si="49"/>
        <v>0</v>
      </c>
      <c r="G869" s="554">
        <f t="shared" si="50"/>
        <v>0</v>
      </c>
      <c r="H869" s="555">
        <f t="shared" si="51"/>
        <v>0</v>
      </c>
      <c r="I869" s="552">
        <f t="shared" si="52"/>
        <v>0</v>
      </c>
      <c r="J869" s="552"/>
      <c r="K869" s="572"/>
      <c r="L869" s="556"/>
      <c r="M869" s="572"/>
      <c r="N869" s="556"/>
      <c r="O869" s="556"/>
    </row>
    <row r="870" spans="3:15">
      <c r="C870" s="548">
        <f>IF(D815="","-",+C869+1)</f>
        <v>2063</v>
      </c>
      <c r="D870" s="506">
        <f t="shared" si="48"/>
        <v>0</v>
      </c>
      <c r="E870" s="549">
        <f t="shared" si="53"/>
        <v>0</v>
      </c>
      <c r="F870" s="506">
        <f t="shared" si="49"/>
        <v>0</v>
      </c>
      <c r="G870" s="554">
        <f t="shared" si="50"/>
        <v>0</v>
      </c>
      <c r="H870" s="555">
        <f t="shared" si="51"/>
        <v>0</v>
      </c>
      <c r="I870" s="552">
        <f t="shared" si="52"/>
        <v>0</v>
      </c>
      <c r="J870" s="552"/>
      <c r="K870" s="572"/>
      <c r="L870" s="556"/>
      <c r="M870" s="572"/>
      <c r="N870" s="556"/>
      <c r="O870" s="556"/>
    </row>
    <row r="871" spans="3:15">
      <c r="C871" s="548">
        <f>IF(D815="","-",+C870+1)</f>
        <v>2064</v>
      </c>
      <c r="D871" s="506">
        <f t="shared" si="48"/>
        <v>0</v>
      </c>
      <c r="E871" s="549">
        <f t="shared" si="53"/>
        <v>0</v>
      </c>
      <c r="F871" s="506">
        <f t="shared" si="49"/>
        <v>0</v>
      </c>
      <c r="G871" s="554">
        <f t="shared" si="50"/>
        <v>0</v>
      </c>
      <c r="H871" s="555">
        <f t="shared" si="51"/>
        <v>0</v>
      </c>
      <c r="I871" s="552">
        <f t="shared" si="52"/>
        <v>0</v>
      </c>
      <c r="J871" s="552"/>
      <c r="K871" s="572"/>
      <c r="L871" s="556"/>
      <c r="M871" s="572"/>
      <c r="N871" s="556"/>
      <c r="O871" s="556"/>
    </row>
    <row r="872" spans="3:15">
      <c r="C872" s="548">
        <f>IF(D815="","-",+C871+1)</f>
        <v>2065</v>
      </c>
      <c r="D872" s="506">
        <f t="shared" si="48"/>
        <v>0</v>
      </c>
      <c r="E872" s="549">
        <f t="shared" si="53"/>
        <v>0</v>
      </c>
      <c r="F872" s="506">
        <f t="shared" si="49"/>
        <v>0</v>
      </c>
      <c r="G872" s="554">
        <f t="shared" si="50"/>
        <v>0</v>
      </c>
      <c r="H872" s="555">
        <f t="shared" si="51"/>
        <v>0</v>
      </c>
      <c r="I872" s="552">
        <f t="shared" si="52"/>
        <v>0</v>
      </c>
      <c r="J872" s="552"/>
      <c r="K872" s="572"/>
      <c r="L872" s="556"/>
      <c r="M872" s="572"/>
      <c r="N872" s="556"/>
      <c r="O872" s="556"/>
    </row>
    <row r="873" spans="3:15">
      <c r="C873" s="548">
        <f>IF(D815="","-",+C872+1)</f>
        <v>2066</v>
      </c>
      <c r="D873" s="506">
        <f t="shared" si="48"/>
        <v>0</v>
      </c>
      <c r="E873" s="549">
        <f t="shared" si="53"/>
        <v>0</v>
      </c>
      <c r="F873" s="506">
        <f t="shared" si="49"/>
        <v>0</v>
      </c>
      <c r="G873" s="554">
        <f t="shared" si="50"/>
        <v>0</v>
      </c>
      <c r="H873" s="555">
        <f t="shared" si="51"/>
        <v>0</v>
      </c>
      <c r="I873" s="552">
        <f t="shared" si="52"/>
        <v>0</v>
      </c>
      <c r="J873" s="552"/>
      <c r="K873" s="572"/>
      <c r="L873" s="556"/>
      <c r="M873" s="572"/>
      <c r="N873" s="556"/>
      <c r="O873" s="556"/>
    </row>
    <row r="874" spans="3:15">
      <c r="C874" s="548">
        <f>IF(D815="","-",+C873+1)</f>
        <v>2067</v>
      </c>
      <c r="D874" s="506">
        <f t="shared" si="48"/>
        <v>0</v>
      </c>
      <c r="E874" s="549">
        <f t="shared" si="53"/>
        <v>0</v>
      </c>
      <c r="F874" s="506">
        <f t="shared" si="49"/>
        <v>0</v>
      </c>
      <c r="G874" s="554">
        <f t="shared" si="50"/>
        <v>0</v>
      </c>
      <c r="H874" s="555">
        <f t="shared" si="51"/>
        <v>0</v>
      </c>
      <c r="I874" s="552">
        <f t="shared" si="52"/>
        <v>0</v>
      </c>
      <c r="J874" s="552"/>
      <c r="K874" s="572"/>
      <c r="L874" s="556"/>
      <c r="M874" s="572"/>
      <c r="N874" s="556"/>
      <c r="O874" s="556"/>
    </row>
    <row r="875" spans="3:15">
      <c r="C875" s="548">
        <f>IF(D815="","-",+C874+1)</f>
        <v>2068</v>
      </c>
      <c r="D875" s="506">
        <f t="shared" si="48"/>
        <v>0</v>
      </c>
      <c r="E875" s="549">
        <f t="shared" si="53"/>
        <v>0</v>
      </c>
      <c r="F875" s="506">
        <f t="shared" si="49"/>
        <v>0</v>
      </c>
      <c r="G875" s="554">
        <f t="shared" si="50"/>
        <v>0</v>
      </c>
      <c r="H875" s="555">
        <f t="shared" si="51"/>
        <v>0</v>
      </c>
      <c r="I875" s="552">
        <f t="shared" si="52"/>
        <v>0</v>
      </c>
      <c r="J875" s="552"/>
      <c r="K875" s="572"/>
      <c r="L875" s="556"/>
      <c r="M875" s="572"/>
      <c r="N875" s="556"/>
      <c r="O875" s="556"/>
    </row>
    <row r="876" spans="3:15">
      <c r="C876" s="548">
        <f>IF(D815="","-",+C875+1)</f>
        <v>2069</v>
      </c>
      <c r="D876" s="506">
        <f t="shared" si="48"/>
        <v>0</v>
      </c>
      <c r="E876" s="549">
        <f t="shared" si="53"/>
        <v>0</v>
      </c>
      <c r="F876" s="506">
        <f t="shared" si="49"/>
        <v>0</v>
      </c>
      <c r="G876" s="554">
        <f t="shared" si="50"/>
        <v>0</v>
      </c>
      <c r="H876" s="555">
        <f t="shared" si="51"/>
        <v>0</v>
      </c>
      <c r="I876" s="552">
        <f t="shared" si="52"/>
        <v>0</v>
      </c>
      <c r="J876" s="552"/>
      <c r="K876" s="572"/>
      <c r="L876" s="556"/>
      <c r="M876" s="572"/>
      <c r="N876" s="556"/>
      <c r="O876" s="556"/>
    </row>
    <row r="877" spans="3:15">
      <c r="C877" s="548">
        <f>IF(D815="","-",+C876+1)</f>
        <v>2070</v>
      </c>
      <c r="D877" s="506">
        <f t="shared" si="48"/>
        <v>0</v>
      </c>
      <c r="E877" s="549">
        <f t="shared" si="53"/>
        <v>0</v>
      </c>
      <c r="F877" s="506">
        <f t="shared" si="49"/>
        <v>0</v>
      </c>
      <c r="G877" s="554">
        <f t="shared" si="50"/>
        <v>0</v>
      </c>
      <c r="H877" s="555">
        <f t="shared" si="51"/>
        <v>0</v>
      </c>
      <c r="I877" s="552">
        <f t="shared" si="52"/>
        <v>0</v>
      </c>
      <c r="J877" s="552"/>
      <c r="K877" s="572"/>
      <c r="L877" s="556"/>
      <c r="M877" s="572"/>
      <c r="N877" s="556"/>
      <c r="O877" s="556"/>
    </row>
    <row r="878" spans="3:15">
      <c r="C878" s="548">
        <f>IF(D815="","-",+C877+1)</f>
        <v>2071</v>
      </c>
      <c r="D878" s="506">
        <f t="shared" si="48"/>
        <v>0</v>
      </c>
      <c r="E878" s="549">
        <f t="shared" si="53"/>
        <v>0</v>
      </c>
      <c r="F878" s="506">
        <f t="shared" si="49"/>
        <v>0</v>
      </c>
      <c r="G878" s="554">
        <f t="shared" si="50"/>
        <v>0</v>
      </c>
      <c r="H878" s="555">
        <f t="shared" si="51"/>
        <v>0</v>
      </c>
      <c r="I878" s="552">
        <f t="shared" si="52"/>
        <v>0</v>
      </c>
      <c r="J878" s="552"/>
      <c r="K878" s="572"/>
      <c r="L878" s="556"/>
      <c r="M878" s="572"/>
      <c r="N878" s="556"/>
      <c r="O878" s="556"/>
    </row>
    <row r="879" spans="3:15">
      <c r="C879" s="548">
        <f>IF(D815="","-",+C878+1)</f>
        <v>2072</v>
      </c>
      <c r="D879" s="506">
        <f t="shared" si="48"/>
        <v>0</v>
      </c>
      <c r="E879" s="549">
        <f t="shared" si="53"/>
        <v>0</v>
      </c>
      <c r="F879" s="506">
        <f t="shared" si="49"/>
        <v>0</v>
      </c>
      <c r="G879" s="554">
        <f t="shared" si="50"/>
        <v>0</v>
      </c>
      <c r="H879" s="555">
        <f t="shared" si="51"/>
        <v>0</v>
      </c>
      <c r="I879" s="552">
        <f t="shared" si="52"/>
        <v>0</v>
      </c>
      <c r="J879" s="552"/>
      <c r="K879" s="572"/>
      <c r="L879" s="556"/>
      <c r="M879" s="572"/>
      <c r="N879" s="556"/>
      <c r="O879" s="556"/>
    </row>
    <row r="880" spans="3:15" ht="13.5" thickBot="1">
      <c r="C880" s="558">
        <f>IF(D815="","-",+C879+1)</f>
        <v>2073</v>
      </c>
      <c r="D880" s="559">
        <f t="shared" si="48"/>
        <v>0</v>
      </c>
      <c r="E880" s="560">
        <f t="shared" si="53"/>
        <v>0</v>
      </c>
      <c r="F880" s="559">
        <f t="shared" si="49"/>
        <v>0</v>
      </c>
      <c r="G880" s="561">
        <f t="shared" si="50"/>
        <v>0</v>
      </c>
      <c r="H880" s="561">
        <f t="shared" si="51"/>
        <v>0</v>
      </c>
      <c r="I880" s="562">
        <f t="shared" si="52"/>
        <v>0</v>
      </c>
      <c r="J880" s="552"/>
      <c r="K880" s="573"/>
      <c r="L880" s="563"/>
      <c r="M880" s="573"/>
      <c r="N880" s="563"/>
      <c r="O880" s="563"/>
    </row>
    <row r="881" spans="1:16">
      <c r="C881" s="506" t="s">
        <v>83</v>
      </c>
      <c r="D881" s="503"/>
      <c r="E881" s="503">
        <f>SUM(E821:E880)</f>
        <v>13479817.289999999</v>
      </c>
      <c r="F881" s="503"/>
      <c r="G881" s="503">
        <f>SUM(G821:G880)</f>
        <v>49662480.500870638</v>
      </c>
      <c r="H881" s="503">
        <f>SUM(H821:H880)</f>
        <v>49662480.500870638</v>
      </c>
      <c r="I881" s="503">
        <f>SUM(I821:I880)</f>
        <v>0</v>
      </c>
      <c r="J881" s="503"/>
      <c r="K881" s="503"/>
      <c r="L881" s="503"/>
      <c r="M881" s="503"/>
      <c r="N881" s="503"/>
      <c r="O881" s="3"/>
    </row>
    <row r="882" spans="1:16">
      <c r="D882" s="47"/>
      <c r="E882" s="3"/>
      <c r="F882" s="3"/>
      <c r="G882" s="3"/>
      <c r="H882" s="490"/>
      <c r="I882" s="490"/>
      <c r="J882" s="503"/>
      <c r="K882" s="490"/>
      <c r="L882" s="490"/>
      <c r="M882" s="490"/>
      <c r="N882" s="490"/>
      <c r="O882" s="3"/>
    </row>
    <row r="883" spans="1:16">
      <c r="C883" s="3" t="s">
        <v>13</v>
      </c>
      <c r="D883" s="47"/>
      <c r="E883" s="3"/>
      <c r="F883" s="3"/>
      <c r="G883" s="3"/>
      <c r="H883" s="490"/>
      <c r="I883" s="490"/>
      <c r="J883" s="503"/>
      <c r="K883" s="490"/>
      <c r="L883" s="490"/>
      <c r="M883" s="490"/>
      <c r="N883" s="490"/>
      <c r="O883" s="3"/>
    </row>
    <row r="884" spans="1:16">
      <c r="C884" s="3"/>
      <c r="D884" s="47"/>
      <c r="E884" s="3"/>
      <c r="F884" s="3"/>
      <c r="G884" s="3"/>
      <c r="H884" s="490"/>
      <c r="I884" s="490"/>
      <c r="J884" s="503"/>
      <c r="K884" s="490"/>
      <c r="L884" s="490"/>
      <c r="M884" s="490"/>
      <c r="N884" s="490"/>
      <c r="O884" s="3"/>
    </row>
    <row r="885" spans="1:16">
      <c r="C885" s="518" t="s">
        <v>14</v>
      </c>
      <c r="D885" s="506"/>
      <c r="E885" s="506"/>
      <c r="F885" s="506"/>
      <c r="G885" s="503"/>
      <c r="H885" s="503"/>
      <c r="I885" s="564"/>
      <c r="J885" s="564"/>
      <c r="K885" s="564"/>
      <c r="L885" s="564"/>
      <c r="M885" s="564"/>
      <c r="N885" s="564"/>
      <c r="O885" s="3"/>
    </row>
    <row r="886" spans="1:16">
      <c r="C886" s="507" t="s">
        <v>263</v>
      </c>
      <c r="D886" s="506"/>
      <c r="E886" s="506"/>
      <c r="F886" s="506"/>
      <c r="G886" s="503"/>
      <c r="H886" s="503"/>
      <c r="I886" s="564"/>
      <c r="J886" s="564"/>
      <c r="K886" s="564"/>
      <c r="L886" s="564"/>
      <c r="M886" s="564"/>
      <c r="N886" s="564"/>
      <c r="O886" s="3"/>
    </row>
    <row r="887" spans="1:16">
      <c r="C887" s="507" t="s">
        <v>84</v>
      </c>
      <c r="D887" s="506"/>
      <c r="E887" s="506"/>
      <c r="F887" s="506"/>
      <c r="G887" s="503"/>
      <c r="H887" s="503"/>
      <c r="I887" s="564"/>
      <c r="J887" s="564"/>
      <c r="K887" s="564"/>
      <c r="L887" s="564"/>
      <c r="M887" s="564"/>
      <c r="N887" s="564"/>
      <c r="O887" s="3"/>
    </row>
    <row r="888" spans="1:16">
      <c r="C888" s="507"/>
      <c r="D888" s="506"/>
      <c r="E888" s="506"/>
      <c r="F888" s="506"/>
      <c r="G888" s="503"/>
      <c r="H888" s="503"/>
      <c r="I888" s="564"/>
      <c r="J888" s="564"/>
      <c r="K888" s="564"/>
      <c r="L888" s="564"/>
      <c r="M888" s="564"/>
      <c r="N888" s="564"/>
      <c r="O888" s="3"/>
    </row>
    <row r="889" spans="1:16">
      <c r="C889" s="1200" t="s">
        <v>6</v>
      </c>
      <c r="D889" s="1200"/>
      <c r="E889" s="1200"/>
      <c r="F889" s="1200"/>
      <c r="G889" s="1200"/>
      <c r="H889" s="1200"/>
      <c r="I889" s="1200"/>
      <c r="J889" s="1200"/>
      <c r="K889" s="1200"/>
      <c r="L889" s="1200"/>
      <c r="M889" s="1200"/>
      <c r="N889" s="1200"/>
      <c r="O889" s="1200"/>
    </row>
    <row r="890" spans="1:16">
      <c r="C890" s="1200"/>
      <c r="D890" s="1200"/>
      <c r="E890" s="1200"/>
      <c r="F890" s="1200"/>
      <c r="G890" s="1200"/>
      <c r="H890" s="1200"/>
      <c r="I890" s="1200"/>
      <c r="J890" s="1200"/>
      <c r="K890" s="1200"/>
      <c r="L890" s="1200"/>
      <c r="M890" s="1200"/>
      <c r="N890" s="1200"/>
      <c r="O890" s="1200"/>
    </row>
    <row r="891" spans="1:16">
      <c r="C891" s="507"/>
      <c r="D891" s="506"/>
      <c r="E891" s="506"/>
      <c r="F891" s="506"/>
      <c r="G891" s="503"/>
      <c r="H891" s="503"/>
    </row>
    <row r="892" spans="1:16" ht="20.25">
      <c r="A892" s="447" t="str">
        <f>""&amp;A816&amp;" Worksheet J -  ATRR PROJECTED Calculation for PJM Projects Charged to Benefiting Zones"</f>
        <v xml:space="preserve"> Worksheet J -  ATRR PROJECTED Calculation for PJM Projects Charged to Benefiting Zones</v>
      </c>
      <c r="B892" s="3"/>
      <c r="C892" s="3"/>
      <c r="D892" s="47"/>
      <c r="E892" s="3"/>
      <c r="F892" s="489"/>
      <c r="G892" s="3"/>
      <c r="H892" s="490"/>
      <c r="K892" s="398"/>
      <c r="L892" s="398"/>
      <c r="M892" s="398"/>
      <c r="N892" s="398" t="str">
        <f>"Page "&amp;SUM(P$8:P892)&amp;" of "</f>
        <v xml:space="preserve">Page 11 of </v>
      </c>
      <c r="O892" s="448">
        <f>COUNT(P$8:P$56653)</f>
        <v>23</v>
      </c>
      <c r="P892">
        <v>1</v>
      </c>
    </row>
    <row r="893" spans="1:16">
      <c r="B893" s="3"/>
      <c r="C893" s="3"/>
      <c r="D893" s="47"/>
      <c r="E893" s="3"/>
      <c r="F893" s="3"/>
      <c r="G893" s="3"/>
      <c r="H893" s="490"/>
      <c r="I893" s="3"/>
      <c r="J893" s="3"/>
      <c r="K893" s="3"/>
      <c r="L893" s="3"/>
      <c r="M893" s="3"/>
      <c r="N893" s="3"/>
      <c r="O893" s="3"/>
    </row>
    <row r="894" spans="1:16" ht="18">
      <c r="B894" s="449" t="s">
        <v>464</v>
      </c>
      <c r="C894" s="122" t="s">
        <v>85</v>
      </c>
      <c r="D894" s="47"/>
      <c r="E894" s="3"/>
      <c r="F894" s="3"/>
      <c r="G894" s="3"/>
      <c r="H894" s="490"/>
      <c r="I894" s="490"/>
      <c r="J894" s="503"/>
      <c r="K894" s="490"/>
      <c r="L894" s="490"/>
      <c r="M894" s="490"/>
      <c r="N894" s="490"/>
      <c r="O894" s="3"/>
    </row>
    <row r="895" spans="1:16" ht="18.75">
      <c r="B895" s="449"/>
      <c r="C895" s="6"/>
      <c r="D895" s="47"/>
      <c r="E895" s="3"/>
      <c r="F895" s="3"/>
      <c r="G895" s="3"/>
      <c r="H895" s="490"/>
      <c r="I895" s="490"/>
      <c r="J895" s="503"/>
      <c r="K895" s="490"/>
      <c r="L895" s="490"/>
      <c r="M895" s="490"/>
      <c r="N895" s="490"/>
      <c r="O895" s="3"/>
    </row>
    <row r="896" spans="1:16" ht="18.75">
      <c r="B896" s="449"/>
      <c r="C896" s="6" t="s">
        <v>86</v>
      </c>
      <c r="D896" s="47"/>
      <c r="E896" s="3"/>
      <c r="F896" s="3"/>
      <c r="G896" s="3"/>
      <c r="H896" s="490"/>
      <c r="I896" s="490"/>
      <c r="J896" s="503"/>
      <c r="K896" s="490"/>
      <c r="L896" s="490"/>
      <c r="M896" s="490"/>
      <c r="N896" s="490"/>
      <c r="O896" s="3"/>
    </row>
    <row r="897" spans="2:15" ht="15.75" thickBot="1">
      <c r="C897" s="131"/>
      <c r="D897" s="47"/>
      <c r="E897" s="3"/>
      <c r="F897" s="3"/>
      <c r="G897" s="3"/>
      <c r="H897" s="490"/>
      <c r="I897" s="490"/>
      <c r="J897" s="503"/>
      <c r="K897" s="490"/>
      <c r="L897" s="490"/>
      <c r="M897" s="490"/>
      <c r="N897" s="490"/>
      <c r="O897" s="3"/>
    </row>
    <row r="898" spans="2:15" ht="15.75">
      <c r="C898" s="451" t="s">
        <v>87</v>
      </c>
      <c r="D898" s="47"/>
      <c r="E898" s="3"/>
      <c r="F898" s="3"/>
      <c r="G898" s="566"/>
      <c r="H898" s="3" t="s">
        <v>66</v>
      </c>
      <c r="I898" s="3"/>
      <c r="J898" s="3"/>
      <c r="K898" s="509" t="s">
        <v>91</v>
      </c>
      <c r="L898" s="510"/>
      <c r="M898" s="511"/>
      <c r="N898" s="512">
        <f>IF(I904=0,0,VLOOKUP(I904,C911:O970,5))</f>
        <v>0</v>
      </c>
      <c r="O898" s="3"/>
    </row>
    <row r="899" spans="2:15" ht="15.75">
      <c r="C899" s="451"/>
      <c r="D899" s="47"/>
      <c r="E899" s="3"/>
      <c r="F899" s="3"/>
      <c r="G899" s="3"/>
      <c r="H899" s="513"/>
      <c r="I899" s="513"/>
      <c r="J899" s="514"/>
      <c r="K899" s="515" t="s">
        <v>92</v>
      </c>
      <c r="L899" s="516"/>
      <c r="M899" s="3"/>
      <c r="N899" s="517">
        <f>IF(I904=0,0,VLOOKUP(I904,C911:O970,6))</f>
        <v>0</v>
      </c>
      <c r="O899" s="3"/>
    </row>
    <row r="900" spans="2:15" ht="13.5" thickBot="1">
      <c r="C900" s="518" t="s">
        <v>88</v>
      </c>
      <c r="D900" s="1194" t="s">
        <v>810</v>
      </c>
      <c r="E900" s="1194"/>
      <c r="F900" s="1194"/>
      <c r="G900" s="1194"/>
      <c r="H900" s="1194"/>
      <c r="I900" s="1194"/>
      <c r="J900" s="503"/>
      <c r="K900" s="519" t="s">
        <v>230</v>
      </c>
      <c r="L900" s="520"/>
      <c r="M900" s="520"/>
      <c r="N900" s="521">
        <f>+N899-N898</f>
        <v>0</v>
      </c>
      <c r="O900" s="3"/>
    </row>
    <row r="901" spans="2:15">
      <c r="C901" s="522"/>
      <c r="D901" s="523"/>
      <c r="E901" s="506"/>
      <c r="F901" s="506"/>
      <c r="G901" s="524"/>
      <c r="H901" s="490"/>
      <c r="I901" s="490"/>
      <c r="J901" s="503"/>
      <c r="K901" s="490"/>
      <c r="L901" s="490"/>
      <c r="M901" s="490"/>
      <c r="N901" s="490"/>
      <c r="O901" s="3"/>
    </row>
    <row r="902" spans="2:15" ht="13.5" thickBot="1">
      <c r="C902" s="522"/>
      <c r="D902" s="3"/>
      <c r="E902" s="524"/>
      <c r="F902" s="524"/>
      <c r="G902" s="524"/>
      <c r="H902" s="524"/>
      <c r="I902" s="524"/>
      <c r="J902" s="524"/>
      <c r="K902" s="524"/>
      <c r="L902" s="524"/>
      <c r="M902" s="524"/>
      <c r="N902" s="524"/>
      <c r="O902" s="3"/>
    </row>
    <row r="903" spans="2:15" ht="13.5" thickBot="1">
      <c r="C903" s="525" t="s">
        <v>89</v>
      </c>
      <c r="D903" s="526"/>
      <c r="E903" s="526"/>
      <c r="F903" s="526"/>
      <c r="G903" s="526"/>
      <c r="H903" s="526"/>
      <c r="I903" s="527"/>
      <c r="K903" s="3"/>
      <c r="L903" s="3"/>
      <c r="M903" s="3"/>
      <c r="N903" s="3"/>
      <c r="O903" s="3"/>
    </row>
    <row r="904" spans="2:15" ht="15">
      <c r="C904" s="528" t="s">
        <v>67</v>
      </c>
      <c r="D904" s="568">
        <v>0</v>
      </c>
      <c r="E904" s="3" t="s">
        <v>68</v>
      </c>
      <c r="G904" s="47"/>
      <c r="H904" s="47"/>
      <c r="I904" s="529">
        <f>$L$26</f>
        <v>2026</v>
      </c>
      <c r="J904" s="70"/>
      <c r="K904" s="1193" t="s">
        <v>239</v>
      </c>
      <c r="L904" s="1193"/>
      <c r="M904" s="1193"/>
      <c r="N904" s="1193"/>
      <c r="O904" s="1193"/>
    </row>
    <row r="905" spans="2:15">
      <c r="C905" s="528" t="s">
        <v>70</v>
      </c>
      <c r="D905" s="569">
        <v>2014</v>
      </c>
      <c r="E905" s="528" t="s">
        <v>71</v>
      </c>
      <c r="F905" s="47"/>
      <c r="H905"/>
      <c r="I905" s="570">
        <f>IF(G898="",0,$F$17)</f>
        <v>0</v>
      </c>
      <c r="J905" s="530"/>
      <c r="K905" s="503" t="s">
        <v>239</v>
      </c>
    </row>
    <row r="906" spans="2:15">
      <c r="C906" s="528" t="s">
        <v>72</v>
      </c>
      <c r="D906" s="568">
        <v>12</v>
      </c>
      <c r="E906" s="528" t="s">
        <v>73</v>
      </c>
      <c r="F906" s="47"/>
      <c r="H906"/>
      <c r="I906" s="531">
        <f>$G$70</f>
        <v>0.14912278949438812</v>
      </c>
      <c r="J906" s="489"/>
      <c r="K906" t="str">
        <f>"          INPUT PROJECTED ARR (WITH &amp; WITHOUT INCENTIVES) FROM EACH PRIOR YEAR"</f>
        <v xml:space="preserve">          INPUT PROJECTED ARR (WITH &amp; WITHOUT INCENTIVES) FROM EACH PRIOR YEAR</v>
      </c>
    </row>
    <row r="907" spans="2:15">
      <c r="C907" s="528" t="s">
        <v>74</v>
      </c>
      <c r="D907" s="532">
        <f>$G$79</f>
        <v>34</v>
      </c>
      <c r="E907" s="528" t="s">
        <v>75</v>
      </c>
      <c r="F907" s="47"/>
      <c r="H907"/>
      <c r="I907" s="531">
        <f>IF(G898="",I906,$G$69)</f>
        <v>0.14912278949438812</v>
      </c>
      <c r="J907" s="489"/>
      <c r="K907" t="s">
        <v>152</v>
      </c>
    </row>
    <row r="908" spans="2:15" ht="13.5" thickBot="1">
      <c r="C908" s="528" t="s">
        <v>76</v>
      </c>
      <c r="D908" s="567" t="s">
        <v>812</v>
      </c>
      <c r="E908" s="533" t="s">
        <v>77</v>
      </c>
      <c r="F908" s="534"/>
      <c r="G908" s="535"/>
      <c r="H908" s="535"/>
      <c r="I908" s="521">
        <f>IF(D904=0,0,D904/D907)</f>
        <v>0</v>
      </c>
      <c r="J908" s="503"/>
      <c r="K908" s="503" t="s">
        <v>158</v>
      </c>
      <c r="L908" s="503"/>
      <c r="M908" s="503"/>
      <c r="N908" s="503"/>
      <c r="O908" s="3"/>
    </row>
    <row r="909" spans="2:15" ht="38.25">
      <c r="B909" s="450"/>
      <c r="C909" s="536" t="s">
        <v>67</v>
      </c>
      <c r="D909" s="537" t="s">
        <v>78</v>
      </c>
      <c r="E909" s="538" t="s">
        <v>79</v>
      </c>
      <c r="F909" s="537" t="s">
        <v>80</v>
      </c>
      <c r="G909" s="538" t="s">
        <v>151</v>
      </c>
      <c r="H909" s="539" t="s">
        <v>151</v>
      </c>
      <c r="I909" s="536" t="s">
        <v>90</v>
      </c>
      <c r="J909" s="540"/>
      <c r="K909" s="538" t="s">
        <v>160</v>
      </c>
      <c r="L909" s="541"/>
      <c r="M909" s="538" t="s">
        <v>160</v>
      </c>
      <c r="N909" s="541"/>
      <c r="O909" s="541"/>
    </row>
    <row r="910" spans="2:15" ht="13.5" thickBot="1">
      <c r="C910" s="542" t="s">
        <v>467</v>
      </c>
      <c r="D910" s="543" t="s">
        <v>468</v>
      </c>
      <c r="E910" s="542" t="s">
        <v>361</v>
      </c>
      <c r="F910" s="543" t="s">
        <v>468</v>
      </c>
      <c r="G910" s="544" t="s">
        <v>93</v>
      </c>
      <c r="H910" s="545" t="s">
        <v>95</v>
      </c>
      <c r="I910" s="542" t="s">
        <v>15</v>
      </c>
      <c r="J910" s="546"/>
      <c r="K910" s="544" t="s">
        <v>82</v>
      </c>
      <c r="L910" s="547"/>
      <c r="M910" s="544" t="s">
        <v>95</v>
      </c>
      <c r="N910" s="547"/>
      <c r="O910" s="547"/>
    </row>
    <row r="911" spans="2:15">
      <c r="C911" s="548">
        <f>IF(D905= "","-",D905)</f>
        <v>2014</v>
      </c>
      <c r="D911" s="506">
        <f>+D904</f>
        <v>0</v>
      </c>
      <c r="E911" s="549">
        <f>+I908/12*(12-D906)</f>
        <v>0</v>
      </c>
      <c r="F911" s="506">
        <f>+D911-E911</f>
        <v>0</v>
      </c>
      <c r="G911" s="723">
        <f>+$I$96*((D911+F911)/2)+E911</f>
        <v>0</v>
      </c>
      <c r="H911" s="724">
        <f>$I$97*((D911+F911)/2)+E911</f>
        <v>0</v>
      </c>
      <c r="I911" s="552">
        <f>+H911-G911</f>
        <v>0</v>
      </c>
      <c r="J911" s="552"/>
      <c r="K911" s="571">
        <v>1502768</v>
      </c>
      <c r="L911" s="553"/>
      <c r="M911" s="571">
        <v>1502768</v>
      </c>
      <c r="N911" s="553"/>
      <c r="O911" s="553"/>
    </row>
    <row r="912" spans="2:15">
      <c r="C912" s="548">
        <f>IF(D905="","-",+C911+1)</f>
        <v>2015</v>
      </c>
      <c r="D912" s="506">
        <f t="shared" ref="D912:D970" si="54">F911</f>
        <v>0</v>
      </c>
      <c r="E912" s="549">
        <f>IF(D912&gt;$I$908,$I$908,D912)</f>
        <v>0</v>
      </c>
      <c r="F912" s="506">
        <f t="shared" ref="F912:F970" si="55">+D912-E912</f>
        <v>0</v>
      </c>
      <c r="G912" s="554">
        <f t="shared" ref="G912:G970" si="56">+$I$96*((D912+F912)/2)+E912</f>
        <v>0</v>
      </c>
      <c r="H912" s="555">
        <f t="shared" ref="H912:H970" si="57">$I$97*((D912+F912)/2)+E912</f>
        <v>0</v>
      </c>
      <c r="I912" s="552">
        <f t="shared" ref="I912:I970" si="58">+H912-G912</f>
        <v>0</v>
      </c>
      <c r="J912" s="552"/>
      <c r="K912" s="572">
        <v>1736229</v>
      </c>
      <c r="L912" s="556"/>
      <c r="M912" s="572">
        <v>1736229</v>
      </c>
      <c r="N912" s="556"/>
      <c r="O912" s="556"/>
    </row>
    <row r="913" spans="3:15">
      <c r="C913" s="548">
        <f>IF(D905="","-",+C912+1)</f>
        <v>2016</v>
      </c>
      <c r="D913" s="506">
        <f t="shared" si="54"/>
        <v>0</v>
      </c>
      <c r="E913" s="549">
        <f t="shared" ref="E913:E970" si="59">IF(D913&gt;$I$908,$I$908,D913)</f>
        <v>0</v>
      </c>
      <c r="F913" s="506">
        <f t="shared" si="55"/>
        <v>0</v>
      </c>
      <c r="G913" s="554">
        <f t="shared" si="56"/>
        <v>0</v>
      </c>
      <c r="H913" s="555">
        <f t="shared" si="57"/>
        <v>0</v>
      </c>
      <c r="I913" s="552">
        <f t="shared" si="58"/>
        <v>0</v>
      </c>
      <c r="J913" s="552"/>
      <c r="K913" s="572">
        <v>1915973</v>
      </c>
      <c r="L913" s="556"/>
      <c r="M913" s="572">
        <v>1915973</v>
      </c>
      <c r="N913" s="556"/>
      <c r="O913" s="556"/>
    </row>
    <row r="914" spans="3:15">
      <c r="C914" s="548">
        <f>IF(D905="","-",+C913+1)</f>
        <v>2017</v>
      </c>
      <c r="D914" s="506">
        <f t="shared" si="54"/>
        <v>0</v>
      </c>
      <c r="E914" s="549">
        <f t="shared" si="59"/>
        <v>0</v>
      </c>
      <c r="F914" s="506">
        <f t="shared" si="55"/>
        <v>0</v>
      </c>
      <c r="G914" s="554">
        <f t="shared" si="56"/>
        <v>0</v>
      </c>
      <c r="H914" s="555">
        <f t="shared" si="57"/>
        <v>0</v>
      </c>
      <c r="I914" s="552">
        <f t="shared" si="58"/>
        <v>0</v>
      </c>
      <c r="J914" s="552"/>
      <c r="K914" s="572">
        <v>2299209</v>
      </c>
      <c r="L914" s="556"/>
      <c r="M914" s="572">
        <v>2299209</v>
      </c>
      <c r="N914" s="556"/>
      <c r="O914" s="556"/>
    </row>
    <row r="915" spans="3:15">
      <c r="C915" s="548">
        <f>IF(D905="","-",+C914+1)</f>
        <v>2018</v>
      </c>
      <c r="D915" s="506">
        <f t="shared" si="54"/>
        <v>0</v>
      </c>
      <c r="E915" s="549">
        <f t="shared" si="59"/>
        <v>0</v>
      </c>
      <c r="F915" s="506">
        <f t="shared" si="55"/>
        <v>0</v>
      </c>
      <c r="G915" s="554">
        <f t="shared" si="56"/>
        <v>0</v>
      </c>
      <c r="H915" s="555">
        <f t="shared" si="57"/>
        <v>0</v>
      </c>
      <c r="I915" s="552">
        <f t="shared" si="58"/>
        <v>0</v>
      </c>
      <c r="J915" s="552"/>
      <c r="K915" s="572">
        <v>2044134</v>
      </c>
      <c r="L915" s="556"/>
      <c r="M915" s="572">
        <v>2044134</v>
      </c>
      <c r="N915" s="556"/>
      <c r="O915" s="556"/>
    </row>
    <row r="916" spans="3:15">
      <c r="C916" s="974">
        <f>IF(D905="","-",+C915+1)</f>
        <v>2019</v>
      </c>
      <c r="D916" s="506">
        <f t="shared" si="54"/>
        <v>0</v>
      </c>
      <c r="E916" s="549">
        <f t="shared" si="59"/>
        <v>0</v>
      </c>
      <c r="F916" s="506">
        <f t="shared" si="55"/>
        <v>0</v>
      </c>
      <c r="G916" s="554">
        <f t="shared" si="56"/>
        <v>0</v>
      </c>
      <c r="H916" s="555">
        <f t="shared" si="57"/>
        <v>0</v>
      </c>
      <c r="I916" s="552">
        <f t="shared" si="58"/>
        <v>0</v>
      </c>
      <c r="J916" s="552"/>
      <c r="K916" s="572">
        <v>0</v>
      </c>
      <c r="L916" s="556"/>
      <c r="M916" s="572">
        <v>0</v>
      </c>
      <c r="N916" s="556"/>
      <c r="O916" s="556"/>
    </row>
    <row r="917" spans="3:15">
      <c r="C917" s="974">
        <f>IF(D905="","-",+C916+1)</f>
        <v>2020</v>
      </c>
      <c r="D917" s="506">
        <f t="shared" si="54"/>
        <v>0</v>
      </c>
      <c r="E917" s="549">
        <f t="shared" si="59"/>
        <v>0</v>
      </c>
      <c r="F917" s="506">
        <f t="shared" si="55"/>
        <v>0</v>
      </c>
      <c r="G917" s="554">
        <f t="shared" si="56"/>
        <v>0</v>
      </c>
      <c r="H917" s="555">
        <f t="shared" si="57"/>
        <v>0</v>
      </c>
      <c r="I917" s="552">
        <f t="shared" si="58"/>
        <v>0</v>
      </c>
      <c r="J917" s="552"/>
      <c r="K917" s="572">
        <v>0</v>
      </c>
      <c r="L917" s="556"/>
      <c r="M917" s="572">
        <v>0</v>
      </c>
      <c r="N917" s="556"/>
      <c r="O917" s="556"/>
    </row>
    <row r="918" spans="3:15">
      <c r="C918" s="974">
        <f>IF(D905="","-",+C917+1)</f>
        <v>2021</v>
      </c>
      <c r="D918" s="506">
        <f t="shared" si="54"/>
        <v>0</v>
      </c>
      <c r="E918" s="549">
        <f t="shared" si="59"/>
        <v>0</v>
      </c>
      <c r="F918" s="506">
        <f t="shared" si="55"/>
        <v>0</v>
      </c>
      <c r="G918" s="554">
        <f t="shared" si="56"/>
        <v>0</v>
      </c>
      <c r="H918" s="555">
        <f t="shared" si="57"/>
        <v>0</v>
      </c>
      <c r="I918" s="552">
        <f t="shared" si="58"/>
        <v>0</v>
      </c>
      <c r="J918" s="552"/>
      <c r="K918" s="572">
        <v>0</v>
      </c>
      <c r="L918" s="556"/>
      <c r="M918" s="572">
        <v>0</v>
      </c>
      <c r="N918" s="556"/>
      <c r="O918" s="556"/>
    </row>
    <row r="919" spans="3:15">
      <c r="C919" s="974">
        <f>IF(D905="","-",+C918+1)</f>
        <v>2022</v>
      </c>
      <c r="D919" s="506">
        <f t="shared" si="54"/>
        <v>0</v>
      </c>
      <c r="E919" s="549">
        <f t="shared" si="59"/>
        <v>0</v>
      </c>
      <c r="F919" s="506">
        <f t="shared" si="55"/>
        <v>0</v>
      </c>
      <c r="G919" s="554">
        <f t="shared" si="56"/>
        <v>0</v>
      </c>
      <c r="H919" s="555">
        <f t="shared" si="57"/>
        <v>0</v>
      </c>
      <c r="I919" s="552">
        <f t="shared" si="58"/>
        <v>0</v>
      </c>
      <c r="J919" s="552"/>
      <c r="K919" s="572"/>
      <c r="L919" s="556"/>
      <c r="M919" s="572"/>
      <c r="N919" s="556"/>
      <c r="O919" s="556"/>
    </row>
    <row r="920" spans="3:15">
      <c r="C920" s="974">
        <f>IF(D905="","-",+C919+1)</f>
        <v>2023</v>
      </c>
      <c r="D920" s="506">
        <f t="shared" si="54"/>
        <v>0</v>
      </c>
      <c r="E920" s="549">
        <f t="shared" si="59"/>
        <v>0</v>
      </c>
      <c r="F920" s="506">
        <f t="shared" si="55"/>
        <v>0</v>
      </c>
      <c r="G920" s="554">
        <f t="shared" si="56"/>
        <v>0</v>
      </c>
      <c r="H920" s="555">
        <f t="shared" si="57"/>
        <v>0</v>
      </c>
      <c r="I920" s="552">
        <f t="shared" si="58"/>
        <v>0</v>
      </c>
      <c r="J920" s="552"/>
      <c r="K920" s="572"/>
      <c r="L920" s="556"/>
      <c r="M920" s="572"/>
      <c r="N920" s="556"/>
      <c r="O920" s="556"/>
    </row>
    <row r="921" spans="3:15">
      <c r="C921" s="548">
        <f>IF(D905="","-",+C920+1)</f>
        <v>2024</v>
      </c>
      <c r="D921" s="506">
        <f t="shared" si="54"/>
        <v>0</v>
      </c>
      <c r="E921" s="549">
        <f t="shared" si="59"/>
        <v>0</v>
      </c>
      <c r="F921" s="506">
        <f t="shared" si="55"/>
        <v>0</v>
      </c>
      <c r="G921" s="554">
        <f t="shared" si="56"/>
        <v>0</v>
      </c>
      <c r="H921" s="555">
        <f t="shared" si="57"/>
        <v>0</v>
      </c>
      <c r="I921" s="552">
        <f t="shared" si="58"/>
        <v>0</v>
      </c>
      <c r="J921" s="552"/>
      <c r="K921" s="572"/>
      <c r="L921" s="556"/>
      <c r="M921" s="572"/>
      <c r="N921" s="556"/>
      <c r="O921" s="556"/>
    </row>
    <row r="922" spans="3:15">
      <c r="C922" s="548">
        <f>IF(D905="","-",+C921+1)</f>
        <v>2025</v>
      </c>
      <c r="D922" s="506">
        <f t="shared" si="54"/>
        <v>0</v>
      </c>
      <c r="E922" s="549">
        <f t="shared" si="59"/>
        <v>0</v>
      </c>
      <c r="F922" s="506">
        <f t="shared" si="55"/>
        <v>0</v>
      </c>
      <c r="G922" s="554">
        <f t="shared" si="56"/>
        <v>0</v>
      </c>
      <c r="H922" s="555">
        <f t="shared" si="57"/>
        <v>0</v>
      </c>
      <c r="I922" s="552">
        <f t="shared" si="58"/>
        <v>0</v>
      </c>
      <c r="J922" s="552"/>
      <c r="K922" s="572"/>
      <c r="L922" s="556"/>
      <c r="M922" s="572"/>
      <c r="N922" s="556"/>
      <c r="O922" s="556"/>
    </row>
    <row r="923" spans="3:15">
      <c r="C923" s="955">
        <f>IF(D905="","-",+C922+1)</f>
        <v>2026</v>
      </c>
      <c r="D923" s="506">
        <f t="shared" si="54"/>
        <v>0</v>
      </c>
      <c r="E923" s="549">
        <f t="shared" si="59"/>
        <v>0</v>
      </c>
      <c r="F923" s="506">
        <f t="shared" si="55"/>
        <v>0</v>
      </c>
      <c r="G923" s="554">
        <f t="shared" si="56"/>
        <v>0</v>
      </c>
      <c r="H923" s="555">
        <f t="shared" si="57"/>
        <v>0</v>
      </c>
      <c r="I923" s="552">
        <f t="shared" si="58"/>
        <v>0</v>
      </c>
      <c r="J923" s="552"/>
      <c r="K923" s="572"/>
      <c r="L923" s="556"/>
      <c r="M923" s="572"/>
      <c r="N923" s="557"/>
      <c r="O923" s="556"/>
    </row>
    <row r="924" spans="3:15">
      <c r="C924" s="548">
        <f>IF(D905="","-",+C923+1)</f>
        <v>2027</v>
      </c>
      <c r="D924" s="506">
        <f t="shared" si="54"/>
        <v>0</v>
      </c>
      <c r="E924" s="549">
        <f t="shared" si="59"/>
        <v>0</v>
      </c>
      <c r="F924" s="506">
        <f t="shared" si="55"/>
        <v>0</v>
      </c>
      <c r="G924" s="554">
        <f t="shared" si="56"/>
        <v>0</v>
      </c>
      <c r="H924" s="555">
        <f t="shared" si="57"/>
        <v>0</v>
      </c>
      <c r="I924" s="552">
        <f t="shared" si="58"/>
        <v>0</v>
      </c>
      <c r="J924" s="552"/>
      <c r="K924" s="572"/>
      <c r="L924" s="556"/>
      <c r="M924" s="572"/>
      <c r="N924" s="556"/>
      <c r="O924" s="556"/>
    </row>
    <row r="925" spans="3:15">
      <c r="C925" s="548">
        <f>IF(D905="","-",+C924+1)</f>
        <v>2028</v>
      </c>
      <c r="D925" s="506">
        <f t="shared" si="54"/>
        <v>0</v>
      </c>
      <c r="E925" s="549">
        <f t="shared" si="59"/>
        <v>0</v>
      </c>
      <c r="F925" s="506">
        <f t="shared" si="55"/>
        <v>0</v>
      </c>
      <c r="G925" s="554">
        <f t="shared" si="56"/>
        <v>0</v>
      </c>
      <c r="H925" s="555">
        <f t="shared" si="57"/>
        <v>0</v>
      </c>
      <c r="I925" s="552">
        <f t="shared" si="58"/>
        <v>0</v>
      </c>
      <c r="J925" s="552"/>
      <c r="K925" s="572"/>
      <c r="L925" s="556"/>
      <c r="M925" s="572"/>
      <c r="N925" s="556"/>
      <c r="O925" s="556"/>
    </row>
    <row r="926" spans="3:15">
      <c r="C926" s="548">
        <f>IF(D905="","-",+C925+1)</f>
        <v>2029</v>
      </c>
      <c r="D926" s="506">
        <f t="shared" si="54"/>
        <v>0</v>
      </c>
      <c r="E926" s="549">
        <f t="shared" si="59"/>
        <v>0</v>
      </c>
      <c r="F926" s="506">
        <f t="shared" si="55"/>
        <v>0</v>
      </c>
      <c r="G926" s="554">
        <f t="shared" si="56"/>
        <v>0</v>
      </c>
      <c r="H926" s="555">
        <f t="shared" si="57"/>
        <v>0</v>
      </c>
      <c r="I926" s="552">
        <f t="shared" si="58"/>
        <v>0</v>
      </c>
      <c r="J926" s="552"/>
      <c r="K926" s="572"/>
      <c r="L926" s="556"/>
      <c r="M926" s="572"/>
      <c r="N926" s="556"/>
      <c r="O926" s="556"/>
    </row>
    <row r="927" spans="3:15">
      <c r="C927" s="548">
        <f>IF(D905="","-",+C926+1)</f>
        <v>2030</v>
      </c>
      <c r="D927" s="506">
        <f t="shared" si="54"/>
        <v>0</v>
      </c>
      <c r="E927" s="549">
        <f t="shared" si="59"/>
        <v>0</v>
      </c>
      <c r="F927" s="506">
        <f t="shared" si="55"/>
        <v>0</v>
      </c>
      <c r="G927" s="554">
        <f t="shared" si="56"/>
        <v>0</v>
      </c>
      <c r="H927" s="555">
        <f t="shared" si="57"/>
        <v>0</v>
      </c>
      <c r="I927" s="552">
        <f t="shared" si="58"/>
        <v>0</v>
      </c>
      <c r="J927" s="552"/>
      <c r="K927" s="572"/>
      <c r="L927" s="556"/>
      <c r="M927" s="572"/>
      <c r="N927" s="556"/>
      <c r="O927" s="556"/>
    </row>
    <row r="928" spans="3:15">
      <c r="C928" s="548">
        <f>IF(D905="","-",+C927+1)</f>
        <v>2031</v>
      </c>
      <c r="D928" s="506">
        <f t="shared" si="54"/>
        <v>0</v>
      </c>
      <c r="E928" s="549">
        <f t="shared" si="59"/>
        <v>0</v>
      </c>
      <c r="F928" s="506">
        <f t="shared" si="55"/>
        <v>0</v>
      </c>
      <c r="G928" s="554">
        <f t="shared" si="56"/>
        <v>0</v>
      </c>
      <c r="H928" s="555">
        <f t="shared" si="57"/>
        <v>0</v>
      </c>
      <c r="I928" s="552">
        <f t="shared" si="58"/>
        <v>0</v>
      </c>
      <c r="J928" s="552"/>
      <c r="K928" s="572"/>
      <c r="L928" s="556"/>
      <c r="M928" s="572"/>
      <c r="N928" s="556"/>
      <c r="O928" s="556"/>
    </row>
    <row r="929" spans="3:15">
      <c r="C929" s="548">
        <f>IF(D905="","-",+C928+1)</f>
        <v>2032</v>
      </c>
      <c r="D929" s="506">
        <f t="shared" si="54"/>
        <v>0</v>
      </c>
      <c r="E929" s="549">
        <f t="shared" si="59"/>
        <v>0</v>
      </c>
      <c r="F929" s="506">
        <f t="shared" si="55"/>
        <v>0</v>
      </c>
      <c r="G929" s="554">
        <f t="shared" si="56"/>
        <v>0</v>
      </c>
      <c r="H929" s="555">
        <f t="shared" si="57"/>
        <v>0</v>
      </c>
      <c r="I929" s="552">
        <f t="shared" si="58"/>
        <v>0</v>
      </c>
      <c r="J929" s="552"/>
      <c r="K929" s="572"/>
      <c r="L929" s="556"/>
      <c r="M929" s="572"/>
      <c r="N929" s="556"/>
      <c r="O929" s="556"/>
    </row>
    <row r="930" spans="3:15">
      <c r="C930" s="548">
        <f>IF(D905="","-",+C929+1)</f>
        <v>2033</v>
      </c>
      <c r="D930" s="506">
        <f t="shared" si="54"/>
        <v>0</v>
      </c>
      <c r="E930" s="549">
        <f t="shared" si="59"/>
        <v>0</v>
      </c>
      <c r="F930" s="506">
        <f t="shared" si="55"/>
        <v>0</v>
      </c>
      <c r="G930" s="554">
        <f t="shared" si="56"/>
        <v>0</v>
      </c>
      <c r="H930" s="555">
        <f t="shared" si="57"/>
        <v>0</v>
      </c>
      <c r="I930" s="552">
        <f t="shared" si="58"/>
        <v>0</v>
      </c>
      <c r="J930" s="552"/>
      <c r="K930" s="572"/>
      <c r="L930" s="556"/>
      <c r="M930" s="572"/>
      <c r="N930" s="556"/>
      <c r="O930" s="556"/>
    </row>
    <row r="931" spans="3:15">
      <c r="C931" s="548">
        <f>IF(D905="","-",+C930+1)</f>
        <v>2034</v>
      </c>
      <c r="D931" s="506">
        <f t="shared" si="54"/>
        <v>0</v>
      </c>
      <c r="E931" s="549">
        <f t="shared" si="59"/>
        <v>0</v>
      </c>
      <c r="F931" s="506">
        <f t="shared" si="55"/>
        <v>0</v>
      </c>
      <c r="G931" s="554">
        <f t="shared" si="56"/>
        <v>0</v>
      </c>
      <c r="H931" s="555">
        <f t="shared" si="57"/>
        <v>0</v>
      </c>
      <c r="I931" s="552">
        <f t="shared" si="58"/>
        <v>0</v>
      </c>
      <c r="J931" s="552"/>
      <c r="K931" s="572"/>
      <c r="L931" s="556"/>
      <c r="M931" s="572"/>
      <c r="N931" s="556"/>
      <c r="O931" s="556"/>
    </row>
    <row r="932" spans="3:15">
      <c r="C932" s="548">
        <f>IF(D905="","-",+C931+1)</f>
        <v>2035</v>
      </c>
      <c r="D932" s="506">
        <f t="shared" si="54"/>
        <v>0</v>
      </c>
      <c r="E932" s="549">
        <f t="shared" si="59"/>
        <v>0</v>
      </c>
      <c r="F932" s="506">
        <f t="shared" si="55"/>
        <v>0</v>
      </c>
      <c r="G932" s="554">
        <f t="shared" si="56"/>
        <v>0</v>
      </c>
      <c r="H932" s="555">
        <f t="shared" si="57"/>
        <v>0</v>
      </c>
      <c r="I932" s="552">
        <f t="shared" si="58"/>
        <v>0</v>
      </c>
      <c r="J932" s="552"/>
      <c r="K932" s="572"/>
      <c r="L932" s="556"/>
      <c r="M932" s="572"/>
      <c r="N932" s="556"/>
      <c r="O932" s="556"/>
    </row>
    <row r="933" spans="3:15">
      <c r="C933" s="548">
        <f>IF(D905="","-",+C932+1)</f>
        <v>2036</v>
      </c>
      <c r="D933" s="506">
        <f t="shared" si="54"/>
        <v>0</v>
      </c>
      <c r="E933" s="549">
        <f t="shared" si="59"/>
        <v>0</v>
      </c>
      <c r="F933" s="506">
        <f t="shared" si="55"/>
        <v>0</v>
      </c>
      <c r="G933" s="554">
        <f t="shared" si="56"/>
        <v>0</v>
      </c>
      <c r="H933" s="555">
        <f t="shared" si="57"/>
        <v>0</v>
      </c>
      <c r="I933" s="552">
        <f t="shared" si="58"/>
        <v>0</v>
      </c>
      <c r="J933" s="552"/>
      <c r="K933" s="572"/>
      <c r="L933" s="556"/>
      <c r="M933" s="572"/>
      <c r="N933" s="556"/>
      <c r="O933" s="556"/>
    </row>
    <row r="934" spans="3:15">
      <c r="C934" s="548">
        <f>IF(D905="","-",+C933+1)</f>
        <v>2037</v>
      </c>
      <c r="D934" s="506">
        <f t="shared" si="54"/>
        <v>0</v>
      </c>
      <c r="E934" s="549">
        <f t="shared" si="59"/>
        <v>0</v>
      </c>
      <c r="F934" s="506">
        <f t="shared" si="55"/>
        <v>0</v>
      </c>
      <c r="G934" s="554">
        <f t="shared" si="56"/>
        <v>0</v>
      </c>
      <c r="H934" s="555">
        <f t="shared" si="57"/>
        <v>0</v>
      </c>
      <c r="I934" s="552">
        <f t="shared" si="58"/>
        <v>0</v>
      </c>
      <c r="J934" s="552"/>
      <c r="K934" s="572"/>
      <c r="L934" s="556"/>
      <c r="M934" s="572"/>
      <c r="N934" s="556"/>
      <c r="O934" s="556"/>
    </row>
    <row r="935" spans="3:15">
      <c r="C935" s="548">
        <f>IF(D905="","-",+C934+1)</f>
        <v>2038</v>
      </c>
      <c r="D935" s="506">
        <f t="shared" si="54"/>
        <v>0</v>
      </c>
      <c r="E935" s="549">
        <f t="shared" si="59"/>
        <v>0</v>
      </c>
      <c r="F935" s="506">
        <f t="shared" si="55"/>
        <v>0</v>
      </c>
      <c r="G935" s="554">
        <f t="shared" si="56"/>
        <v>0</v>
      </c>
      <c r="H935" s="555">
        <f t="shared" si="57"/>
        <v>0</v>
      </c>
      <c r="I935" s="552">
        <f t="shared" si="58"/>
        <v>0</v>
      </c>
      <c r="J935" s="552"/>
      <c r="K935" s="572"/>
      <c r="L935" s="556"/>
      <c r="M935" s="572"/>
      <c r="N935" s="556"/>
      <c r="O935" s="556"/>
    </row>
    <row r="936" spans="3:15">
      <c r="C936" s="548">
        <f>IF(D905="","-",+C935+1)</f>
        <v>2039</v>
      </c>
      <c r="D936" s="506">
        <f t="shared" si="54"/>
        <v>0</v>
      </c>
      <c r="E936" s="549">
        <f t="shared" si="59"/>
        <v>0</v>
      </c>
      <c r="F936" s="506">
        <f t="shared" si="55"/>
        <v>0</v>
      </c>
      <c r="G936" s="554">
        <f t="shared" si="56"/>
        <v>0</v>
      </c>
      <c r="H936" s="555">
        <f t="shared" si="57"/>
        <v>0</v>
      </c>
      <c r="I936" s="552">
        <f t="shared" si="58"/>
        <v>0</v>
      </c>
      <c r="J936" s="552"/>
      <c r="K936" s="572"/>
      <c r="L936" s="556"/>
      <c r="M936" s="572"/>
      <c r="N936" s="556"/>
      <c r="O936" s="556"/>
    </row>
    <row r="937" spans="3:15">
      <c r="C937" s="548">
        <f>IF(D905="","-",+C936+1)</f>
        <v>2040</v>
      </c>
      <c r="D937" s="506">
        <f t="shared" si="54"/>
        <v>0</v>
      </c>
      <c r="E937" s="549">
        <f t="shared" si="59"/>
        <v>0</v>
      </c>
      <c r="F937" s="506">
        <f t="shared" si="55"/>
        <v>0</v>
      </c>
      <c r="G937" s="554">
        <f t="shared" si="56"/>
        <v>0</v>
      </c>
      <c r="H937" s="555">
        <f t="shared" si="57"/>
        <v>0</v>
      </c>
      <c r="I937" s="552">
        <f t="shared" si="58"/>
        <v>0</v>
      </c>
      <c r="J937" s="552"/>
      <c r="K937" s="572"/>
      <c r="L937" s="556"/>
      <c r="M937" s="572"/>
      <c r="N937" s="556"/>
      <c r="O937" s="556"/>
    </row>
    <row r="938" spans="3:15">
      <c r="C938" s="548">
        <f>IF(D905="","-",+C937+1)</f>
        <v>2041</v>
      </c>
      <c r="D938" s="506">
        <f t="shared" si="54"/>
        <v>0</v>
      </c>
      <c r="E938" s="549">
        <f t="shared" si="59"/>
        <v>0</v>
      </c>
      <c r="F938" s="506">
        <f t="shared" si="55"/>
        <v>0</v>
      </c>
      <c r="G938" s="554">
        <f t="shared" si="56"/>
        <v>0</v>
      </c>
      <c r="H938" s="555">
        <f t="shared" si="57"/>
        <v>0</v>
      </c>
      <c r="I938" s="552">
        <f t="shared" si="58"/>
        <v>0</v>
      </c>
      <c r="J938" s="552"/>
      <c r="K938" s="572"/>
      <c r="L938" s="556"/>
      <c r="M938" s="572"/>
      <c r="N938" s="556"/>
      <c r="O938" s="556"/>
    </row>
    <row r="939" spans="3:15">
      <c r="C939" s="548">
        <f>IF(D905="","-",+C938+1)</f>
        <v>2042</v>
      </c>
      <c r="D939" s="506">
        <f t="shared" si="54"/>
        <v>0</v>
      </c>
      <c r="E939" s="549">
        <f t="shared" si="59"/>
        <v>0</v>
      </c>
      <c r="F939" s="506">
        <f t="shared" si="55"/>
        <v>0</v>
      </c>
      <c r="G939" s="550">
        <f t="shared" si="56"/>
        <v>0</v>
      </c>
      <c r="H939" s="555">
        <f t="shared" si="57"/>
        <v>0</v>
      </c>
      <c r="I939" s="552">
        <f t="shared" si="58"/>
        <v>0</v>
      </c>
      <c r="J939" s="552"/>
      <c r="K939" s="572"/>
      <c r="L939" s="556"/>
      <c r="M939" s="572"/>
      <c r="N939" s="556"/>
      <c r="O939" s="556"/>
    </row>
    <row r="940" spans="3:15">
      <c r="C940" s="548">
        <f>IF(D905="","-",+C939+1)</f>
        <v>2043</v>
      </c>
      <c r="D940" s="506">
        <f t="shared" si="54"/>
        <v>0</v>
      </c>
      <c r="E940" s="549">
        <f t="shared" si="59"/>
        <v>0</v>
      </c>
      <c r="F940" s="506">
        <f t="shared" si="55"/>
        <v>0</v>
      </c>
      <c r="G940" s="554">
        <f t="shared" si="56"/>
        <v>0</v>
      </c>
      <c r="H940" s="555">
        <f t="shared" si="57"/>
        <v>0</v>
      </c>
      <c r="I940" s="552">
        <f t="shared" si="58"/>
        <v>0</v>
      </c>
      <c r="J940" s="552"/>
      <c r="K940" s="572"/>
      <c r="L940" s="556"/>
      <c r="M940" s="572"/>
      <c r="N940" s="556"/>
      <c r="O940" s="556"/>
    </row>
    <row r="941" spans="3:15">
      <c r="C941" s="548">
        <f>IF(D905="","-",+C940+1)</f>
        <v>2044</v>
      </c>
      <c r="D941" s="506">
        <f t="shared" si="54"/>
        <v>0</v>
      </c>
      <c r="E941" s="549">
        <f t="shared" si="59"/>
        <v>0</v>
      </c>
      <c r="F941" s="506">
        <f t="shared" si="55"/>
        <v>0</v>
      </c>
      <c r="G941" s="554">
        <f t="shared" si="56"/>
        <v>0</v>
      </c>
      <c r="H941" s="555">
        <f t="shared" si="57"/>
        <v>0</v>
      </c>
      <c r="I941" s="552">
        <f t="shared" si="58"/>
        <v>0</v>
      </c>
      <c r="J941" s="552"/>
      <c r="K941" s="572"/>
      <c r="L941" s="556"/>
      <c r="M941" s="572"/>
      <c r="N941" s="556"/>
      <c r="O941" s="556"/>
    </row>
    <row r="942" spans="3:15">
      <c r="C942" s="548">
        <f>IF(D905="","-",+C941+1)</f>
        <v>2045</v>
      </c>
      <c r="D942" s="506">
        <f t="shared" si="54"/>
        <v>0</v>
      </c>
      <c r="E942" s="549">
        <f t="shared" si="59"/>
        <v>0</v>
      </c>
      <c r="F942" s="506">
        <f t="shared" si="55"/>
        <v>0</v>
      </c>
      <c r="G942" s="554">
        <f t="shared" si="56"/>
        <v>0</v>
      </c>
      <c r="H942" s="555">
        <f t="shared" si="57"/>
        <v>0</v>
      </c>
      <c r="I942" s="552">
        <f t="shared" si="58"/>
        <v>0</v>
      </c>
      <c r="J942" s="552"/>
      <c r="K942" s="572"/>
      <c r="L942" s="556"/>
      <c r="M942" s="572"/>
      <c r="N942" s="556"/>
      <c r="O942" s="556"/>
    </row>
    <row r="943" spans="3:15">
      <c r="C943" s="548">
        <f>IF(D905="","-",+C942+1)</f>
        <v>2046</v>
      </c>
      <c r="D943" s="506">
        <f t="shared" si="54"/>
        <v>0</v>
      </c>
      <c r="E943" s="549">
        <f t="shared" si="59"/>
        <v>0</v>
      </c>
      <c r="F943" s="506">
        <f t="shared" si="55"/>
        <v>0</v>
      </c>
      <c r="G943" s="554">
        <f t="shared" si="56"/>
        <v>0</v>
      </c>
      <c r="H943" s="555">
        <f t="shared" si="57"/>
        <v>0</v>
      </c>
      <c r="I943" s="552">
        <f t="shared" si="58"/>
        <v>0</v>
      </c>
      <c r="J943" s="552"/>
      <c r="K943" s="572"/>
      <c r="L943" s="556"/>
      <c r="M943" s="572"/>
      <c r="N943" s="556"/>
      <c r="O943" s="556"/>
    </row>
    <row r="944" spans="3:15">
      <c r="C944" s="548">
        <f>IF(D905="","-",+C943+1)</f>
        <v>2047</v>
      </c>
      <c r="D944" s="506">
        <f t="shared" si="54"/>
        <v>0</v>
      </c>
      <c r="E944" s="549">
        <f t="shared" si="59"/>
        <v>0</v>
      </c>
      <c r="F944" s="506">
        <f t="shared" si="55"/>
        <v>0</v>
      </c>
      <c r="G944" s="554">
        <f t="shared" si="56"/>
        <v>0</v>
      </c>
      <c r="H944" s="555">
        <f t="shared" si="57"/>
        <v>0</v>
      </c>
      <c r="I944" s="552">
        <f t="shared" si="58"/>
        <v>0</v>
      </c>
      <c r="J944" s="552"/>
      <c r="K944" s="572"/>
      <c r="L944" s="556"/>
      <c r="M944" s="572"/>
      <c r="N944" s="556"/>
      <c r="O944" s="556"/>
    </row>
    <row r="945" spans="3:15">
      <c r="C945" s="548">
        <f>IF(D905="","-",+C944+1)</f>
        <v>2048</v>
      </c>
      <c r="D945" s="506">
        <f t="shared" si="54"/>
        <v>0</v>
      </c>
      <c r="E945" s="549">
        <f t="shared" si="59"/>
        <v>0</v>
      </c>
      <c r="F945" s="506">
        <f t="shared" si="55"/>
        <v>0</v>
      </c>
      <c r="G945" s="554">
        <f t="shared" si="56"/>
        <v>0</v>
      </c>
      <c r="H945" s="555">
        <f t="shared" si="57"/>
        <v>0</v>
      </c>
      <c r="I945" s="552">
        <f t="shared" si="58"/>
        <v>0</v>
      </c>
      <c r="J945" s="552"/>
      <c r="K945" s="572"/>
      <c r="L945" s="556"/>
      <c r="M945" s="572"/>
      <c r="N945" s="556"/>
      <c r="O945" s="556"/>
    </row>
    <row r="946" spans="3:15">
      <c r="C946" s="548">
        <f>IF(D905="","-",+C945+1)</f>
        <v>2049</v>
      </c>
      <c r="D946" s="506">
        <f t="shared" si="54"/>
        <v>0</v>
      </c>
      <c r="E946" s="549">
        <f t="shared" si="59"/>
        <v>0</v>
      </c>
      <c r="F946" s="506">
        <f t="shared" si="55"/>
        <v>0</v>
      </c>
      <c r="G946" s="554">
        <f t="shared" si="56"/>
        <v>0</v>
      </c>
      <c r="H946" s="555">
        <f t="shared" si="57"/>
        <v>0</v>
      </c>
      <c r="I946" s="552">
        <f t="shared" si="58"/>
        <v>0</v>
      </c>
      <c r="J946" s="552"/>
      <c r="K946" s="572"/>
      <c r="L946" s="556"/>
      <c r="M946" s="572"/>
      <c r="N946" s="556"/>
      <c r="O946" s="556"/>
    </row>
    <row r="947" spans="3:15">
      <c r="C947" s="548">
        <f>IF(D905="","-",+C946+1)</f>
        <v>2050</v>
      </c>
      <c r="D947" s="506">
        <f t="shared" si="54"/>
        <v>0</v>
      </c>
      <c r="E947" s="549">
        <f t="shared" si="59"/>
        <v>0</v>
      </c>
      <c r="F947" s="506">
        <f t="shared" si="55"/>
        <v>0</v>
      </c>
      <c r="G947" s="554">
        <f t="shared" si="56"/>
        <v>0</v>
      </c>
      <c r="H947" s="555">
        <f t="shared" si="57"/>
        <v>0</v>
      </c>
      <c r="I947" s="552">
        <f t="shared" si="58"/>
        <v>0</v>
      </c>
      <c r="J947" s="552"/>
      <c r="K947" s="572"/>
      <c r="L947" s="556"/>
      <c r="M947" s="572"/>
      <c r="N947" s="556"/>
      <c r="O947" s="556"/>
    </row>
    <row r="948" spans="3:15">
      <c r="C948" s="548">
        <f>IF(D905="","-",+C947+1)</f>
        <v>2051</v>
      </c>
      <c r="D948" s="506">
        <f t="shared" si="54"/>
        <v>0</v>
      </c>
      <c r="E948" s="549">
        <f t="shared" si="59"/>
        <v>0</v>
      </c>
      <c r="F948" s="506">
        <f t="shared" si="55"/>
        <v>0</v>
      </c>
      <c r="G948" s="554">
        <f t="shared" si="56"/>
        <v>0</v>
      </c>
      <c r="H948" s="555">
        <f t="shared" si="57"/>
        <v>0</v>
      </c>
      <c r="I948" s="552">
        <f t="shared" si="58"/>
        <v>0</v>
      </c>
      <c r="J948" s="552"/>
      <c r="K948" s="572"/>
      <c r="L948" s="556"/>
      <c r="M948" s="572"/>
      <c r="N948" s="556"/>
      <c r="O948" s="556"/>
    </row>
    <row r="949" spans="3:15">
      <c r="C949" s="548">
        <f>IF(D905="","-",+C948+1)</f>
        <v>2052</v>
      </c>
      <c r="D949" s="506">
        <f t="shared" si="54"/>
        <v>0</v>
      </c>
      <c r="E949" s="549">
        <f t="shared" si="59"/>
        <v>0</v>
      </c>
      <c r="F949" s="506">
        <f t="shared" si="55"/>
        <v>0</v>
      </c>
      <c r="G949" s="554">
        <f t="shared" si="56"/>
        <v>0</v>
      </c>
      <c r="H949" s="555">
        <f t="shared" si="57"/>
        <v>0</v>
      </c>
      <c r="I949" s="552">
        <f t="shared" si="58"/>
        <v>0</v>
      </c>
      <c r="J949" s="552"/>
      <c r="K949" s="572"/>
      <c r="L949" s="556"/>
      <c r="M949" s="572"/>
      <c r="N949" s="556"/>
      <c r="O949" s="556"/>
    </row>
    <row r="950" spans="3:15">
      <c r="C950" s="548">
        <f>IF(D905="","-",+C949+1)</f>
        <v>2053</v>
      </c>
      <c r="D950" s="506">
        <f t="shared" si="54"/>
        <v>0</v>
      </c>
      <c r="E950" s="549">
        <f t="shared" si="59"/>
        <v>0</v>
      </c>
      <c r="F950" s="506">
        <f t="shared" si="55"/>
        <v>0</v>
      </c>
      <c r="G950" s="554">
        <f t="shared" si="56"/>
        <v>0</v>
      </c>
      <c r="H950" s="555">
        <f t="shared" si="57"/>
        <v>0</v>
      </c>
      <c r="I950" s="552">
        <f t="shared" si="58"/>
        <v>0</v>
      </c>
      <c r="J950" s="552"/>
      <c r="K950" s="572"/>
      <c r="L950" s="556"/>
      <c r="M950" s="572"/>
      <c r="N950" s="556"/>
      <c r="O950" s="556"/>
    </row>
    <row r="951" spans="3:15">
      <c r="C951" s="548">
        <f>IF(D905="","-",+C950+1)</f>
        <v>2054</v>
      </c>
      <c r="D951" s="506">
        <f t="shared" si="54"/>
        <v>0</v>
      </c>
      <c r="E951" s="549">
        <f t="shared" si="59"/>
        <v>0</v>
      </c>
      <c r="F951" s="506">
        <f t="shared" si="55"/>
        <v>0</v>
      </c>
      <c r="G951" s="554">
        <f t="shared" si="56"/>
        <v>0</v>
      </c>
      <c r="H951" s="555">
        <f t="shared" si="57"/>
        <v>0</v>
      </c>
      <c r="I951" s="552">
        <f t="shared" si="58"/>
        <v>0</v>
      </c>
      <c r="J951" s="552"/>
      <c r="K951" s="572"/>
      <c r="L951" s="556"/>
      <c r="M951" s="572"/>
      <c r="N951" s="556"/>
      <c r="O951" s="556"/>
    </row>
    <row r="952" spans="3:15">
      <c r="C952" s="548">
        <f>IF(D905="","-",+C951+1)</f>
        <v>2055</v>
      </c>
      <c r="D952" s="506">
        <f t="shared" si="54"/>
        <v>0</v>
      </c>
      <c r="E952" s="549">
        <f t="shared" si="59"/>
        <v>0</v>
      </c>
      <c r="F952" s="506">
        <f t="shared" si="55"/>
        <v>0</v>
      </c>
      <c r="G952" s="554">
        <f t="shared" si="56"/>
        <v>0</v>
      </c>
      <c r="H952" s="555">
        <f t="shared" si="57"/>
        <v>0</v>
      </c>
      <c r="I952" s="552">
        <f t="shared" si="58"/>
        <v>0</v>
      </c>
      <c r="J952" s="552"/>
      <c r="K952" s="572"/>
      <c r="L952" s="556"/>
      <c r="M952" s="572"/>
      <c r="N952" s="556"/>
      <c r="O952" s="556"/>
    </row>
    <row r="953" spans="3:15">
      <c r="C953" s="548">
        <f>IF(D905="","-",+C952+1)</f>
        <v>2056</v>
      </c>
      <c r="D953" s="506">
        <f t="shared" si="54"/>
        <v>0</v>
      </c>
      <c r="E953" s="549">
        <f t="shared" si="59"/>
        <v>0</v>
      </c>
      <c r="F953" s="506">
        <f t="shared" si="55"/>
        <v>0</v>
      </c>
      <c r="G953" s="554">
        <f t="shared" si="56"/>
        <v>0</v>
      </c>
      <c r="H953" s="555">
        <f t="shared" si="57"/>
        <v>0</v>
      </c>
      <c r="I953" s="552">
        <f t="shared" si="58"/>
        <v>0</v>
      </c>
      <c r="J953" s="552"/>
      <c r="K953" s="572"/>
      <c r="L953" s="556"/>
      <c r="M953" s="572"/>
      <c r="N953" s="556"/>
      <c r="O953" s="556"/>
    </row>
    <row r="954" spans="3:15">
      <c r="C954" s="548">
        <f>IF(D905="","-",+C953+1)</f>
        <v>2057</v>
      </c>
      <c r="D954" s="506">
        <f t="shared" si="54"/>
        <v>0</v>
      </c>
      <c r="E954" s="549">
        <f t="shared" si="59"/>
        <v>0</v>
      </c>
      <c r="F954" s="506">
        <f t="shared" si="55"/>
        <v>0</v>
      </c>
      <c r="G954" s="554">
        <f t="shared" si="56"/>
        <v>0</v>
      </c>
      <c r="H954" s="555">
        <f t="shared" si="57"/>
        <v>0</v>
      </c>
      <c r="I954" s="552">
        <f t="shared" si="58"/>
        <v>0</v>
      </c>
      <c r="J954" s="552"/>
      <c r="K954" s="572"/>
      <c r="L954" s="556"/>
      <c r="M954" s="572"/>
      <c r="N954" s="556"/>
      <c r="O954" s="556"/>
    </row>
    <row r="955" spans="3:15">
      <c r="C955" s="548">
        <f>IF(D905="","-",+C954+1)</f>
        <v>2058</v>
      </c>
      <c r="D955" s="506">
        <f t="shared" si="54"/>
        <v>0</v>
      </c>
      <c r="E955" s="549">
        <f t="shared" si="59"/>
        <v>0</v>
      </c>
      <c r="F955" s="506">
        <f t="shared" si="55"/>
        <v>0</v>
      </c>
      <c r="G955" s="554">
        <f t="shared" si="56"/>
        <v>0</v>
      </c>
      <c r="H955" s="555">
        <f t="shared" si="57"/>
        <v>0</v>
      </c>
      <c r="I955" s="552">
        <f t="shared" si="58"/>
        <v>0</v>
      </c>
      <c r="J955" s="552"/>
      <c r="K955" s="572"/>
      <c r="L955" s="556"/>
      <c r="M955" s="572"/>
      <c r="N955" s="556"/>
      <c r="O955" s="556"/>
    </row>
    <row r="956" spans="3:15">
      <c r="C956" s="548">
        <f>IF(D905="","-",+C955+1)</f>
        <v>2059</v>
      </c>
      <c r="D956" s="506">
        <f t="shared" si="54"/>
        <v>0</v>
      </c>
      <c r="E956" s="549">
        <f t="shared" si="59"/>
        <v>0</v>
      </c>
      <c r="F956" s="506">
        <f t="shared" si="55"/>
        <v>0</v>
      </c>
      <c r="G956" s="554">
        <f t="shared" si="56"/>
        <v>0</v>
      </c>
      <c r="H956" s="555">
        <f t="shared" si="57"/>
        <v>0</v>
      </c>
      <c r="I956" s="552">
        <f t="shared" si="58"/>
        <v>0</v>
      </c>
      <c r="J956" s="552"/>
      <c r="K956" s="572"/>
      <c r="L956" s="556"/>
      <c r="M956" s="572"/>
      <c r="N956" s="556"/>
      <c r="O956" s="556"/>
    </row>
    <row r="957" spans="3:15">
      <c r="C957" s="548">
        <f>IF(D905="","-",+C956+1)</f>
        <v>2060</v>
      </c>
      <c r="D957" s="506">
        <f t="shared" si="54"/>
        <v>0</v>
      </c>
      <c r="E957" s="549">
        <f t="shared" si="59"/>
        <v>0</v>
      </c>
      <c r="F957" s="506">
        <f t="shared" si="55"/>
        <v>0</v>
      </c>
      <c r="G957" s="554">
        <f t="shared" si="56"/>
        <v>0</v>
      </c>
      <c r="H957" s="555">
        <f t="shared" si="57"/>
        <v>0</v>
      </c>
      <c r="I957" s="552">
        <f t="shared" si="58"/>
        <v>0</v>
      </c>
      <c r="J957" s="552"/>
      <c r="K957" s="572"/>
      <c r="L957" s="556"/>
      <c r="M957" s="572"/>
      <c r="N957" s="556"/>
      <c r="O957" s="556"/>
    </row>
    <row r="958" spans="3:15">
      <c r="C958" s="548">
        <f>IF(D905="","-",+C957+1)</f>
        <v>2061</v>
      </c>
      <c r="D958" s="506">
        <f t="shared" si="54"/>
        <v>0</v>
      </c>
      <c r="E958" s="549">
        <f t="shared" si="59"/>
        <v>0</v>
      </c>
      <c r="F958" s="506">
        <f t="shared" si="55"/>
        <v>0</v>
      </c>
      <c r="G958" s="554">
        <f t="shared" si="56"/>
        <v>0</v>
      </c>
      <c r="H958" s="555">
        <f t="shared" si="57"/>
        <v>0</v>
      </c>
      <c r="I958" s="552">
        <f t="shared" si="58"/>
        <v>0</v>
      </c>
      <c r="J958" s="552"/>
      <c r="K958" s="572"/>
      <c r="L958" s="556"/>
      <c r="M958" s="572"/>
      <c r="N958" s="556"/>
      <c r="O958" s="556"/>
    </row>
    <row r="959" spans="3:15">
      <c r="C959" s="548">
        <f>IF(D905="","-",+C958+1)</f>
        <v>2062</v>
      </c>
      <c r="D959" s="506">
        <f t="shared" si="54"/>
        <v>0</v>
      </c>
      <c r="E959" s="549">
        <f t="shared" si="59"/>
        <v>0</v>
      </c>
      <c r="F959" s="506">
        <f t="shared" si="55"/>
        <v>0</v>
      </c>
      <c r="G959" s="554">
        <f t="shared" si="56"/>
        <v>0</v>
      </c>
      <c r="H959" s="555">
        <f t="shared" si="57"/>
        <v>0</v>
      </c>
      <c r="I959" s="552">
        <f t="shared" si="58"/>
        <v>0</v>
      </c>
      <c r="J959" s="552"/>
      <c r="K959" s="572"/>
      <c r="L959" s="556"/>
      <c r="M959" s="572"/>
      <c r="N959" s="556"/>
      <c r="O959" s="556"/>
    </row>
    <row r="960" spans="3:15">
      <c r="C960" s="548">
        <f>IF(D905="","-",+C959+1)</f>
        <v>2063</v>
      </c>
      <c r="D960" s="506">
        <f t="shared" si="54"/>
        <v>0</v>
      </c>
      <c r="E960" s="549">
        <f t="shared" si="59"/>
        <v>0</v>
      </c>
      <c r="F960" s="506">
        <f t="shared" si="55"/>
        <v>0</v>
      </c>
      <c r="G960" s="554">
        <f t="shared" si="56"/>
        <v>0</v>
      </c>
      <c r="H960" s="555">
        <f t="shared" si="57"/>
        <v>0</v>
      </c>
      <c r="I960" s="552">
        <f t="shared" si="58"/>
        <v>0</v>
      </c>
      <c r="J960" s="552"/>
      <c r="K960" s="572"/>
      <c r="L960" s="556"/>
      <c r="M960" s="572"/>
      <c r="N960" s="556"/>
      <c r="O960" s="556"/>
    </row>
    <row r="961" spans="3:15">
      <c r="C961" s="548">
        <f>IF(D905="","-",+C960+1)</f>
        <v>2064</v>
      </c>
      <c r="D961" s="506">
        <f t="shared" si="54"/>
        <v>0</v>
      </c>
      <c r="E961" s="549">
        <f t="shared" si="59"/>
        <v>0</v>
      </c>
      <c r="F961" s="506">
        <f t="shared" si="55"/>
        <v>0</v>
      </c>
      <c r="G961" s="554">
        <f t="shared" si="56"/>
        <v>0</v>
      </c>
      <c r="H961" s="555">
        <f t="shared" si="57"/>
        <v>0</v>
      </c>
      <c r="I961" s="552">
        <f t="shared" si="58"/>
        <v>0</v>
      </c>
      <c r="J961" s="552"/>
      <c r="K961" s="572"/>
      <c r="L961" s="556"/>
      <c r="M961" s="572"/>
      <c r="N961" s="556"/>
      <c r="O961" s="556"/>
    </row>
    <row r="962" spans="3:15">
      <c r="C962" s="548">
        <f>IF(D905="","-",+C961+1)</f>
        <v>2065</v>
      </c>
      <c r="D962" s="506">
        <f t="shared" si="54"/>
        <v>0</v>
      </c>
      <c r="E962" s="549">
        <f t="shared" si="59"/>
        <v>0</v>
      </c>
      <c r="F962" s="506">
        <f t="shared" si="55"/>
        <v>0</v>
      </c>
      <c r="G962" s="554">
        <f t="shared" si="56"/>
        <v>0</v>
      </c>
      <c r="H962" s="555">
        <f t="shared" si="57"/>
        <v>0</v>
      </c>
      <c r="I962" s="552">
        <f t="shared" si="58"/>
        <v>0</v>
      </c>
      <c r="J962" s="552"/>
      <c r="K962" s="572"/>
      <c r="L962" s="556"/>
      <c r="M962" s="572"/>
      <c r="N962" s="556"/>
      <c r="O962" s="556"/>
    </row>
    <row r="963" spans="3:15">
      <c r="C963" s="548">
        <f>IF(D905="","-",+C962+1)</f>
        <v>2066</v>
      </c>
      <c r="D963" s="506">
        <f t="shared" si="54"/>
        <v>0</v>
      </c>
      <c r="E963" s="549">
        <f t="shared" si="59"/>
        <v>0</v>
      </c>
      <c r="F963" s="506">
        <f t="shared" si="55"/>
        <v>0</v>
      </c>
      <c r="G963" s="554">
        <f t="shared" si="56"/>
        <v>0</v>
      </c>
      <c r="H963" s="555">
        <f t="shared" si="57"/>
        <v>0</v>
      </c>
      <c r="I963" s="552">
        <f t="shared" si="58"/>
        <v>0</v>
      </c>
      <c r="J963" s="552"/>
      <c r="K963" s="572"/>
      <c r="L963" s="556"/>
      <c r="M963" s="572"/>
      <c r="N963" s="556"/>
      <c r="O963" s="556"/>
    </row>
    <row r="964" spans="3:15">
      <c r="C964" s="548">
        <f>IF(D905="","-",+C963+1)</f>
        <v>2067</v>
      </c>
      <c r="D964" s="506">
        <f t="shared" si="54"/>
        <v>0</v>
      </c>
      <c r="E964" s="549">
        <f t="shared" si="59"/>
        <v>0</v>
      </c>
      <c r="F964" s="506">
        <f t="shared" si="55"/>
        <v>0</v>
      </c>
      <c r="G964" s="554">
        <f t="shared" si="56"/>
        <v>0</v>
      </c>
      <c r="H964" s="555">
        <f t="shared" si="57"/>
        <v>0</v>
      </c>
      <c r="I964" s="552">
        <f t="shared" si="58"/>
        <v>0</v>
      </c>
      <c r="J964" s="552"/>
      <c r="K964" s="572"/>
      <c r="L964" s="556"/>
      <c r="M964" s="572"/>
      <c r="N964" s="556"/>
      <c r="O964" s="556"/>
    </row>
    <row r="965" spans="3:15">
      <c r="C965" s="548">
        <f>IF(D905="","-",+C964+1)</f>
        <v>2068</v>
      </c>
      <c r="D965" s="506">
        <f t="shared" si="54"/>
        <v>0</v>
      </c>
      <c r="E965" s="549">
        <f t="shared" si="59"/>
        <v>0</v>
      </c>
      <c r="F965" s="506">
        <f t="shared" si="55"/>
        <v>0</v>
      </c>
      <c r="G965" s="554">
        <f t="shared" si="56"/>
        <v>0</v>
      </c>
      <c r="H965" s="555">
        <f t="shared" si="57"/>
        <v>0</v>
      </c>
      <c r="I965" s="552">
        <f t="shared" si="58"/>
        <v>0</v>
      </c>
      <c r="J965" s="552"/>
      <c r="K965" s="572"/>
      <c r="L965" s="556"/>
      <c r="M965" s="572"/>
      <c r="N965" s="556"/>
      <c r="O965" s="556"/>
    </row>
    <row r="966" spans="3:15">
      <c r="C966" s="548">
        <f>IF(D905="","-",+C965+1)</f>
        <v>2069</v>
      </c>
      <c r="D966" s="506">
        <f t="shared" si="54"/>
        <v>0</v>
      </c>
      <c r="E966" s="549">
        <f t="shared" si="59"/>
        <v>0</v>
      </c>
      <c r="F966" s="506">
        <f t="shared" si="55"/>
        <v>0</v>
      </c>
      <c r="G966" s="554">
        <f t="shared" si="56"/>
        <v>0</v>
      </c>
      <c r="H966" s="555">
        <f t="shared" si="57"/>
        <v>0</v>
      </c>
      <c r="I966" s="552">
        <f t="shared" si="58"/>
        <v>0</v>
      </c>
      <c r="J966" s="552"/>
      <c r="K966" s="572"/>
      <c r="L966" s="556"/>
      <c r="M966" s="572"/>
      <c r="N966" s="556"/>
      <c r="O966" s="556"/>
    </row>
    <row r="967" spans="3:15">
      <c r="C967" s="548">
        <f>IF(D905="","-",+C966+1)</f>
        <v>2070</v>
      </c>
      <c r="D967" s="506">
        <f t="shared" si="54"/>
        <v>0</v>
      </c>
      <c r="E967" s="549">
        <f t="shared" si="59"/>
        <v>0</v>
      </c>
      <c r="F967" s="506">
        <f t="shared" si="55"/>
        <v>0</v>
      </c>
      <c r="G967" s="554">
        <f t="shared" si="56"/>
        <v>0</v>
      </c>
      <c r="H967" s="555">
        <f t="shared" si="57"/>
        <v>0</v>
      </c>
      <c r="I967" s="552">
        <f t="shared" si="58"/>
        <v>0</v>
      </c>
      <c r="J967" s="552"/>
      <c r="K967" s="572"/>
      <c r="L967" s="556"/>
      <c r="M967" s="572"/>
      <c r="N967" s="556"/>
      <c r="O967" s="556"/>
    </row>
    <row r="968" spans="3:15">
      <c r="C968" s="548">
        <f>IF(D905="","-",+C967+1)</f>
        <v>2071</v>
      </c>
      <c r="D968" s="506">
        <f t="shared" si="54"/>
        <v>0</v>
      </c>
      <c r="E968" s="549">
        <f t="shared" si="59"/>
        <v>0</v>
      </c>
      <c r="F968" s="506">
        <f t="shared" si="55"/>
        <v>0</v>
      </c>
      <c r="G968" s="554">
        <f t="shared" si="56"/>
        <v>0</v>
      </c>
      <c r="H968" s="555">
        <f t="shared" si="57"/>
        <v>0</v>
      </c>
      <c r="I968" s="552">
        <f t="shared" si="58"/>
        <v>0</v>
      </c>
      <c r="J968" s="552"/>
      <c r="K968" s="572"/>
      <c r="L968" s="556"/>
      <c r="M968" s="572"/>
      <c r="N968" s="556"/>
      <c r="O968" s="556"/>
    </row>
    <row r="969" spans="3:15">
      <c r="C969" s="548">
        <f>IF(D905="","-",+C968+1)</f>
        <v>2072</v>
      </c>
      <c r="D969" s="506">
        <f t="shared" si="54"/>
        <v>0</v>
      </c>
      <c r="E969" s="549">
        <f t="shared" si="59"/>
        <v>0</v>
      </c>
      <c r="F969" s="506">
        <f t="shared" si="55"/>
        <v>0</v>
      </c>
      <c r="G969" s="554">
        <f t="shared" si="56"/>
        <v>0</v>
      </c>
      <c r="H969" s="555">
        <f t="shared" si="57"/>
        <v>0</v>
      </c>
      <c r="I969" s="552">
        <f t="shared" si="58"/>
        <v>0</v>
      </c>
      <c r="J969" s="552"/>
      <c r="K969" s="572"/>
      <c r="L969" s="556"/>
      <c r="M969" s="572"/>
      <c r="N969" s="556"/>
      <c r="O969" s="556"/>
    </row>
    <row r="970" spans="3:15" ht="13.5" thickBot="1">
      <c r="C970" s="558">
        <f>IF(D905="","-",+C969+1)</f>
        <v>2073</v>
      </c>
      <c r="D970" s="559">
        <f t="shared" si="54"/>
        <v>0</v>
      </c>
      <c r="E970" s="560">
        <f t="shared" si="59"/>
        <v>0</v>
      </c>
      <c r="F970" s="559">
        <f t="shared" si="55"/>
        <v>0</v>
      </c>
      <c r="G970" s="561">
        <f t="shared" si="56"/>
        <v>0</v>
      </c>
      <c r="H970" s="561">
        <f t="shared" si="57"/>
        <v>0</v>
      </c>
      <c r="I970" s="562">
        <f t="shared" si="58"/>
        <v>0</v>
      </c>
      <c r="J970" s="552"/>
      <c r="K970" s="573"/>
      <c r="L970" s="563"/>
      <c r="M970" s="573"/>
      <c r="N970" s="563"/>
      <c r="O970" s="563"/>
    </row>
    <row r="971" spans="3:15">
      <c r="C971" s="506" t="s">
        <v>83</v>
      </c>
      <c r="D971" s="503"/>
      <c r="E971" s="503">
        <f>SUM(E911:E970)</f>
        <v>0</v>
      </c>
      <c r="F971" s="503"/>
      <c r="G971" s="503">
        <f>SUM(G911:G970)</f>
        <v>0</v>
      </c>
      <c r="H971" s="503">
        <f>SUM(H911:H970)</f>
        <v>0</v>
      </c>
      <c r="I971" s="503">
        <f>SUM(I911:I970)</f>
        <v>0</v>
      </c>
      <c r="J971" s="503"/>
      <c r="K971" s="503"/>
      <c r="L971" s="503"/>
      <c r="M971" s="503"/>
      <c r="N971" s="503"/>
      <c r="O971" s="3"/>
    </row>
    <row r="972" spans="3:15">
      <c r="D972" s="47"/>
      <c r="E972" s="3"/>
      <c r="F972" s="3"/>
      <c r="G972" s="3"/>
      <c r="H972" s="490"/>
      <c r="I972" s="490"/>
      <c r="J972" s="503"/>
      <c r="K972" s="490"/>
      <c r="L972" s="490"/>
      <c r="M972" s="490"/>
      <c r="N972" s="490"/>
      <c r="O972" s="3"/>
    </row>
    <row r="973" spans="3:15">
      <c r="C973" s="3" t="s">
        <v>13</v>
      </c>
      <c r="D973" s="47"/>
      <c r="E973" s="3"/>
      <c r="F973" s="3"/>
      <c r="G973" s="3"/>
      <c r="H973" s="490"/>
      <c r="I973" s="490"/>
      <c r="J973" s="503"/>
      <c r="K973" s="490"/>
      <c r="L973" s="490"/>
      <c r="M973" s="490"/>
      <c r="N973" s="490"/>
      <c r="O973" s="3"/>
    </row>
    <row r="974" spans="3:15">
      <c r="C974" s="3"/>
      <c r="D974" s="47"/>
      <c r="E974" s="3"/>
      <c r="F974" s="3"/>
      <c r="G974" s="3"/>
      <c r="H974" s="490"/>
      <c r="I974" s="490"/>
      <c r="J974" s="503"/>
      <c r="K974" s="490"/>
      <c r="L974" s="490"/>
      <c r="M974" s="490"/>
      <c r="N974" s="490"/>
      <c r="O974" s="3"/>
    </row>
    <row r="975" spans="3:15">
      <c r="C975" s="518" t="s">
        <v>14</v>
      </c>
      <c r="D975" s="506"/>
      <c r="E975" s="506"/>
      <c r="F975" s="506"/>
      <c r="G975" s="503"/>
      <c r="H975" s="503"/>
      <c r="I975" s="564"/>
      <c r="J975" s="564"/>
      <c r="K975" s="564"/>
      <c r="L975" s="564"/>
      <c r="M975" s="564"/>
      <c r="N975" s="564"/>
      <c r="O975" s="3"/>
    </row>
    <row r="976" spans="3:15">
      <c r="C976" s="507" t="s">
        <v>263</v>
      </c>
      <c r="D976" s="506"/>
      <c r="E976" s="506"/>
      <c r="F976" s="506"/>
      <c r="G976" s="503"/>
      <c r="H976" s="503"/>
      <c r="I976" s="564"/>
      <c r="J976" s="564"/>
      <c r="K976" s="564"/>
      <c r="L976" s="564"/>
      <c r="M976" s="564"/>
      <c r="N976" s="564"/>
      <c r="O976" s="3"/>
    </row>
    <row r="977" spans="1:16">
      <c r="C977" s="507" t="s">
        <v>84</v>
      </c>
      <c r="D977" s="506"/>
      <c r="E977" s="506"/>
      <c r="F977" s="506"/>
      <c r="G977" s="503"/>
      <c r="H977" s="503"/>
      <c r="I977" s="564"/>
      <c r="J977" s="564"/>
      <c r="K977" s="564"/>
      <c r="L977" s="564"/>
      <c r="M977" s="564"/>
      <c r="N977" s="564"/>
      <c r="O977" s="3"/>
    </row>
    <row r="978" spans="1:16">
      <c r="C978" s="507"/>
      <c r="D978" s="506"/>
      <c r="E978" s="506"/>
      <c r="F978" s="506"/>
      <c r="G978" s="503"/>
      <c r="H978" s="503"/>
      <c r="I978" s="564"/>
      <c r="J978" s="564"/>
      <c r="K978" s="564"/>
      <c r="L978" s="564"/>
      <c r="M978" s="564"/>
      <c r="N978" s="564"/>
      <c r="O978" s="3"/>
    </row>
    <row r="979" spans="1:16">
      <c r="C979" s="1200" t="s">
        <v>6</v>
      </c>
      <c r="D979" s="1200"/>
      <c r="E979" s="1200"/>
      <c r="F979" s="1200"/>
      <c r="G979" s="1200"/>
      <c r="H979" s="1200"/>
      <c r="I979" s="1200"/>
      <c r="J979" s="1200"/>
      <c r="K979" s="1200"/>
      <c r="L979" s="1200"/>
      <c r="M979" s="1200"/>
      <c r="N979" s="1200"/>
      <c r="O979" s="1200"/>
    </row>
    <row r="980" spans="1:16">
      <c r="C980" s="1200"/>
      <c r="D980" s="1200"/>
      <c r="E980" s="1200"/>
      <c r="F980" s="1200"/>
      <c r="G980" s="1200"/>
      <c r="H980" s="1200"/>
      <c r="I980" s="1200"/>
      <c r="J980" s="1200"/>
      <c r="K980" s="1200"/>
      <c r="L980" s="1200"/>
      <c r="M980" s="1200"/>
      <c r="N980" s="1200"/>
      <c r="O980" s="1200"/>
    </row>
    <row r="981" spans="1:16">
      <c r="C981" s="507"/>
      <c r="D981" s="506"/>
      <c r="E981" s="506"/>
      <c r="F981" s="506"/>
      <c r="G981" s="503"/>
      <c r="H981" s="503"/>
    </row>
    <row r="982" spans="1:16" ht="20.25">
      <c r="A982" s="447" t="str">
        <f>""&amp;A906&amp;" Worksheet J -  ATRR PROJECTED Calculation for PJM Projects Charged to Benefiting Zones"</f>
        <v xml:space="preserve"> Worksheet J -  ATRR PROJECTED Calculation for PJM Projects Charged to Benefiting Zones</v>
      </c>
      <c r="B982" s="3"/>
      <c r="C982" s="3"/>
      <c r="D982" s="47"/>
      <c r="E982" s="3"/>
      <c r="F982" s="489"/>
      <c r="G982" s="3"/>
      <c r="H982" s="490"/>
      <c r="K982" s="398"/>
      <c r="L982" s="398"/>
      <c r="M982" s="398"/>
      <c r="N982" s="398" t="str">
        <f>"Page "&amp;SUM(P$8:P982)&amp;" of "</f>
        <v xml:space="preserve">Page 12 of </v>
      </c>
      <c r="O982" s="448">
        <f>COUNT(P$8:P$56653)</f>
        <v>23</v>
      </c>
      <c r="P982">
        <v>1</v>
      </c>
    </row>
    <row r="983" spans="1:16">
      <c r="B983" s="3"/>
      <c r="C983" s="3"/>
      <c r="D983" s="47"/>
      <c r="E983" s="3"/>
      <c r="F983" s="3"/>
      <c r="G983" s="3"/>
      <c r="H983" s="490"/>
      <c r="I983" s="3"/>
      <c r="J983" s="3"/>
      <c r="K983" s="3"/>
      <c r="L983" s="3"/>
      <c r="M983" s="3"/>
      <c r="N983" s="3"/>
      <c r="O983" s="3"/>
    </row>
    <row r="984" spans="1:16" ht="18">
      <c r="B984" s="449" t="s">
        <v>464</v>
      </c>
      <c r="C984" s="122" t="s">
        <v>85</v>
      </c>
      <c r="D984" s="47"/>
      <c r="E984" s="3"/>
      <c r="F984" s="3"/>
      <c r="G984" s="3"/>
      <c r="H984" s="490"/>
      <c r="I984" s="490"/>
      <c r="J984" s="503"/>
      <c r="K984" s="490"/>
      <c r="L984" s="490"/>
      <c r="M984" s="490"/>
      <c r="N984" s="490"/>
      <c r="O984" s="3"/>
    </row>
    <row r="985" spans="1:16" ht="18.75">
      <c r="B985" s="449"/>
      <c r="C985" s="6"/>
      <c r="D985" s="47"/>
      <c r="E985" s="3"/>
      <c r="F985" s="3"/>
      <c r="G985" s="3"/>
      <c r="H985" s="490"/>
      <c r="I985" s="490"/>
      <c r="J985" s="503"/>
      <c r="K985" s="490"/>
      <c r="L985" s="490"/>
      <c r="M985" s="490"/>
      <c r="N985" s="490"/>
      <c r="O985" s="3"/>
    </row>
    <row r="986" spans="1:16" ht="18.75">
      <c r="B986" s="449"/>
      <c r="C986" s="6" t="s">
        <v>86</v>
      </c>
      <c r="D986" s="47"/>
      <c r="E986" s="3"/>
      <c r="F986" s="3"/>
      <c r="G986" s="3"/>
      <c r="H986" s="490"/>
      <c r="I986" s="490"/>
      <c r="J986" s="503"/>
      <c r="K986" s="490"/>
      <c r="L986" s="490"/>
      <c r="M986" s="490"/>
      <c r="N986" s="490"/>
      <c r="O986" s="3"/>
    </row>
    <row r="987" spans="1:16" ht="15.75" thickBot="1">
      <c r="C987" s="131"/>
      <c r="D987" s="47"/>
      <c r="E987" s="3"/>
      <c r="F987" s="3"/>
      <c r="G987" s="3"/>
      <c r="H987" s="490"/>
      <c r="I987" s="490"/>
      <c r="J987" s="503"/>
      <c r="K987" s="490"/>
      <c r="L987" s="490"/>
      <c r="M987" s="490"/>
      <c r="N987" s="490"/>
      <c r="O987" s="3"/>
    </row>
    <row r="988" spans="1:16" ht="15.75">
      <c r="C988" s="451" t="s">
        <v>87</v>
      </c>
      <c r="D988" s="47"/>
      <c r="E988" s="3"/>
      <c r="F988" s="3"/>
      <c r="G988" s="566"/>
      <c r="H988" s="3" t="s">
        <v>66</v>
      </c>
      <c r="I988" s="3"/>
      <c r="J988" s="3"/>
      <c r="K988" s="509" t="s">
        <v>91</v>
      </c>
      <c r="L988" s="510"/>
      <c r="M988" s="511"/>
      <c r="N988" s="512">
        <f>IF(I994=0,0,VLOOKUP(I994,C1001:O1060,5))</f>
        <v>1700328.8557108084</v>
      </c>
      <c r="O988" s="3"/>
    </row>
    <row r="989" spans="1:16" ht="15.75">
      <c r="C989" s="451"/>
      <c r="D989" s="47"/>
      <c r="E989" s="3"/>
      <c r="F989" s="3"/>
      <c r="G989" s="3"/>
      <c r="H989" s="513"/>
      <c r="I989" s="513"/>
      <c r="J989" s="514"/>
      <c r="K989" s="515" t="s">
        <v>92</v>
      </c>
      <c r="L989" s="516"/>
      <c r="M989" s="3"/>
      <c r="N989" s="517">
        <f>IF(I994=0,0,VLOOKUP(I994,C1001:O1060,6))</f>
        <v>1700328.8557108084</v>
      </c>
      <c r="O989" s="3"/>
    </row>
    <row r="990" spans="1:16" ht="13.5" thickBot="1">
      <c r="C990" s="518" t="s">
        <v>88</v>
      </c>
      <c r="D990" s="1194" t="s">
        <v>813</v>
      </c>
      <c r="E990" s="1194"/>
      <c r="F990" s="1194"/>
      <c r="G990" s="1194"/>
      <c r="H990" s="1194"/>
      <c r="I990" s="1194"/>
      <c r="J990" s="503"/>
      <c r="K990" s="519" t="s">
        <v>230</v>
      </c>
      <c r="L990" s="520"/>
      <c r="M990" s="520"/>
      <c r="N990" s="521">
        <f>+N989-N988</f>
        <v>0</v>
      </c>
      <c r="O990" s="3"/>
    </row>
    <row r="991" spans="1:16">
      <c r="C991" s="522"/>
      <c r="D991" s="523"/>
      <c r="E991" s="506"/>
      <c r="F991" s="506"/>
      <c r="G991" s="524"/>
      <c r="H991" s="490"/>
      <c r="I991" s="490"/>
      <c r="J991" s="503"/>
      <c r="K991" s="490"/>
      <c r="L991" s="490"/>
      <c r="M991" s="490"/>
      <c r="N991" s="490"/>
      <c r="O991" s="3"/>
    </row>
    <row r="992" spans="1:16" ht="13.5" thickBot="1">
      <c r="C992" s="522"/>
      <c r="D992" s="3"/>
      <c r="E992" s="524"/>
      <c r="F992" s="524"/>
      <c r="G992" s="524"/>
      <c r="H992" s="524"/>
      <c r="I992" s="524"/>
      <c r="J992" s="524"/>
      <c r="K992" s="524"/>
      <c r="L992" s="524"/>
      <c r="M992" s="524"/>
      <c r="N992" s="524"/>
      <c r="O992" s="3"/>
    </row>
    <row r="993" spans="2:15" ht="13.5" thickBot="1">
      <c r="C993" s="525" t="s">
        <v>89</v>
      </c>
      <c r="D993" s="526"/>
      <c r="E993" s="526"/>
      <c r="F993" s="526"/>
      <c r="G993" s="526"/>
      <c r="H993" s="526"/>
      <c r="I993" s="527"/>
      <c r="K993" s="3"/>
      <c r="L993" s="3"/>
      <c r="M993" s="3"/>
      <c r="N993" s="3"/>
      <c r="O993" s="3"/>
    </row>
    <row r="994" spans="2:15" ht="15">
      <c r="C994" s="528" t="s">
        <v>67</v>
      </c>
      <c r="D994" s="568">
        <v>13744473.899999999</v>
      </c>
      <c r="E994" s="3" t="s">
        <v>68</v>
      </c>
      <c r="G994" s="47"/>
      <c r="H994" s="47"/>
      <c r="I994" s="529">
        <f>$L$26</f>
        <v>2026</v>
      </c>
      <c r="J994" s="70"/>
      <c r="K994" s="1193" t="s">
        <v>239</v>
      </c>
      <c r="L994" s="1193"/>
      <c r="M994" s="1193"/>
      <c r="N994" s="1193"/>
      <c r="O994" s="1193"/>
    </row>
    <row r="995" spans="2:15">
      <c r="C995" s="528" t="s">
        <v>70</v>
      </c>
      <c r="D995" s="569">
        <v>2013</v>
      </c>
      <c r="E995" s="528" t="s">
        <v>71</v>
      </c>
      <c r="F995" s="47"/>
      <c r="H995"/>
      <c r="I995" s="570">
        <f>IF(G988="",0,$F$17)</f>
        <v>0</v>
      </c>
      <c r="J995" s="530"/>
      <c r="K995" s="503" t="s">
        <v>239</v>
      </c>
    </row>
    <row r="996" spans="2:15">
      <c r="C996" s="528" t="s">
        <v>72</v>
      </c>
      <c r="D996" s="568">
        <v>12</v>
      </c>
      <c r="E996" s="528" t="s">
        <v>73</v>
      </c>
      <c r="F996" s="47"/>
      <c r="H996"/>
      <c r="I996" s="531">
        <f>$G$70</f>
        <v>0.14912278949438812</v>
      </c>
      <c r="J996" s="489"/>
      <c r="K996" t="str">
        <f>"          INPUT PROJECTED ARR (WITH &amp; WITHOUT INCENTIVES) FROM EACH PRIOR YEAR"</f>
        <v xml:space="preserve">          INPUT PROJECTED ARR (WITH &amp; WITHOUT INCENTIVES) FROM EACH PRIOR YEAR</v>
      </c>
    </row>
    <row r="997" spans="2:15">
      <c r="C997" s="528" t="s">
        <v>74</v>
      </c>
      <c r="D997" s="532">
        <f>$G$79</f>
        <v>34</v>
      </c>
      <c r="E997" s="528" t="s">
        <v>75</v>
      </c>
      <c r="F997" s="47"/>
      <c r="H997"/>
      <c r="I997" s="531">
        <f>IF(G988="",I996,$G$69)</f>
        <v>0.14912278949438812</v>
      </c>
      <c r="J997" s="489"/>
      <c r="K997" t="s">
        <v>152</v>
      </c>
    </row>
    <row r="998" spans="2:15" ht="13.5" thickBot="1">
      <c r="C998" s="528" t="s">
        <v>76</v>
      </c>
      <c r="D998" s="567" t="s">
        <v>802</v>
      </c>
      <c r="E998" s="533" t="s">
        <v>77</v>
      </c>
      <c r="F998" s="534"/>
      <c r="G998" s="535"/>
      <c r="H998" s="535"/>
      <c r="I998" s="521">
        <f>IF(D994=0,0,D994/D997)</f>
        <v>404249.23235294112</v>
      </c>
      <c r="J998" s="503"/>
      <c r="K998" s="503" t="s">
        <v>158</v>
      </c>
      <c r="L998" s="503"/>
      <c r="M998" s="503"/>
      <c r="N998" s="503"/>
      <c r="O998" s="3"/>
    </row>
    <row r="999" spans="2:15" ht="38.25">
      <c r="B999" s="450"/>
      <c r="C999" s="536" t="s">
        <v>67</v>
      </c>
      <c r="D999" s="537" t="s">
        <v>78</v>
      </c>
      <c r="E999" s="538" t="s">
        <v>79</v>
      </c>
      <c r="F999" s="537" t="s">
        <v>80</v>
      </c>
      <c r="G999" s="538" t="s">
        <v>151</v>
      </c>
      <c r="H999" s="539" t="s">
        <v>151</v>
      </c>
      <c r="I999" s="536" t="s">
        <v>90</v>
      </c>
      <c r="J999" s="540"/>
      <c r="K999" s="538" t="s">
        <v>160</v>
      </c>
      <c r="L999" s="541"/>
      <c r="M999" s="538" t="s">
        <v>160</v>
      </c>
      <c r="N999" s="541"/>
      <c r="O999" s="541"/>
    </row>
    <row r="1000" spans="2:15" ht="13.5" thickBot="1">
      <c r="C1000" s="542" t="s">
        <v>467</v>
      </c>
      <c r="D1000" s="543" t="s">
        <v>468</v>
      </c>
      <c r="E1000" s="542" t="s">
        <v>361</v>
      </c>
      <c r="F1000" s="543" t="s">
        <v>468</v>
      </c>
      <c r="G1000" s="544" t="s">
        <v>93</v>
      </c>
      <c r="H1000" s="545" t="s">
        <v>95</v>
      </c>
      <c r="I1000" s="542" t="s">
        <v>15</v>
      </c>
      <c r="J1000" s="546"/>
      <c r="K1000" s="544" t="s">
        <v>82</v>
      </c>
      <c r="L1000" s="547"/>
      <c r="M1000" s="544" t="s">
        <v>95</v>
      </c>
      <c r="N1000" s="547"/>
      <c r="O1000" s="547"/>
    </row>
    <row r="1001" spans="2:15">
      <c r="C1001" s="548">
        <f>IF(D995= "","-",D995)</f>
        <v>2013</v>
      </c>
      <c r="D1001" s="506">
        <f>+D994</f>
        <v>13744473.899999999</v>
      </c>
      <c r="E1001" s="549">
        <f>+I998/12*(12-D996)</f>
        <v>0</v>
      </c>
      <c r="F1001" s="506">
        <f>+D1001-E1001</f>
        <v>13744473.899999999</v>
      </c>
      <c r="G1001" s="723">
        <f>+$I$96*((D1001+F1001)/2)+E1001</f>
        <v>2049614.2881008114</v>
      </c>
      <c r="H1001" s="724">
        <f>$I$97*((D1001+F1001)/2)+E1001</f>
        <v>2049614.2881008114</v>
      </c>
      <c r="I1001" s="552">
        <f>+H1001-G1001</f>
        <v>0</v>
      </c>
      <c r="J1001" s="552"/>
      <c r="K1001" s="571" t="s">
        <v>814</v>
      </c>
      <c r="L1001" s="553"/>
      <c r="M1001" s="571" t="s">
        <v>814</v>
      </c>
      <c r="N1001" s="553"/>
      <c r="O1001" s="553"/>
    </row>
    <row r="1002" spans="2:15">
      <c r="C1002" s="548">
        <f>IF(D995="","-",+C1001+1)</f>
        <v>2014</v>
      </c>
      <c r="D1002" s="506">
        <f t="shared" ref="D1002:D1060" si="60">F1001</f>
        <v>13744473.899999999</v>
      </c>
      <c r="E1002" s="549">
        <f>IF(D1002&gt;$I$998,$I$998,D1002)</f>
        <v>404249.23235294112</v>
      </c>
      <c r="F1002" s="506">
        <f t="shared" ref="F1002:F1060" si="61">+D1002-E1002</f>
        <v>13340224.667647058</v>
      </c>
      <c r="G1002" s="554">
        <f t="shared" ref="G1002:G1060" si="62">+$I$96*((D1002+F1002)/2)+E1002</f>
        <v>2423722.1338640349</v>
      </c>
      <c r="H1002" s="555">
        <f t="shared" ref="H1002:H1060" si="63">$I$97*((D1002+F1002)/2)+E1002</f>
        <v>2423722.1338640349</v>
      </c>
      <c r="I1002" s="552">
        <f t="shared" ref="I1002:I1060" si="64">+H1002-G1002</f>
        <v>0</v>
      </c>
      <c r="J1002" s="552"/>
      <c r="K1002" s="572">
        <v>294473</v>
      </c>
      <c r="L1002" s="556"/>
      <c r="M1002" s="572">
        <v>294473</v>
      </c>
      <c r="N1002" s="556"/>
      <c r="O1002" s="556"/>
    </row>
    <row r="1003" spans="2:15">
      <c r="C1003" s="548">
        <f>IF(D995="","-",+C1002+1)</f>
        <v>2015</v>
      </c>
      <c r="D1003" s="506">
        <f t="shared" si="60"/>
        <v>13340224.667647058</v>
      </c>
      <c r="E1003" s="549">
        <f t="shared" ref="E1003:E1060" si="65">IF(D1003&gt;$I$998,$I$998,D1003)</f>
        <v>404249.23235294112</v>
      </c>
      <c r="F1003" s="506">
        <f t="shared" si="61"/>
        <v>12935975.435294118</v>
      </c>
      <c r="G1003" s="554">
        <f t="shared" si="62"/>
        <v>2363439.3606845997</v>
      </c>
      <c r="H1003" s="555">
        <f t="shared" si="63"/>
        <v>2363439.3606845997</v>
      </c>
      <c r="I1003" s="552">
        <f t="shared" si="64"/>
        <v>0</v>
      </c>
      <c r="J1003" s="552"/>
      <c r="K1003" s="572">
        <v>1769452</v>
      </c>
      <c r="L1003" s="556"/>
      <c r="M1003" s="572">
        <v>1769452</v>
      </c>
      <c r="N1003" s="556"/>
      <c r="O1003" s="556"/>
    </row>
    <row r="1004" spans="2:15">
      <c r="C1004" s="548">
        <f>IF(D995="","-",+C1003+1)</f>
        <v>2016</v>
      </c>
      <c r="D1004" s="506">
        <f t="shared" si="60"/>
        <v>12935975.435294118</v>
      </c>
      <c r="E1004" s="549">
        <f t="shared" si="65"/>
        <v>404249.23235294112</v>
      </c>
      <c r="F1004" s="506">
        <f t="shared" si="61"/>
        <v>12531726.202941177</v>
      </c>
      <c r="G1004" s="554">
        <f t="shared" si="62"/>
        <v>2303156.5875051636</v>
      </c>
      <c r="H1004" s="555">
        <f t="shared" si="63"/>
        <v>2303156.5875051636</v>
      </c>
      <c r="I1004" s="552">
        <f t="shared" si="64"/>
        <v>0</v>
      </c>
      <c r="J1004" s="552"/>
      <c r="K1004" s="572">
        <v>1930442</v>
      </c>
      <c r="L1004" s="556"/>
      <c r="M1004" s="572">
        <v>1930442</v>
      </c>
      <c r="N1004" s="556"/>
      <c r="O1004" s="556"/>
    </row>
    <row r="1005" spans="2:15">
      <c r="C1005" s="548">
        <f>IF(D995="","-",+C1004+1)</f>
        <v>2017</v>
      </c>
      <c r="D1005" s="506">
        <f t="shared" si="60"/>
        <v>12531726.202941177</v>
      </c>
      <c r="E1005" s="549">
        <f t="shared" si="65"/>
        <v>404249.23235294112</v>
      </c>
      <c r="F1005" s="506">
        <f t="shared" si="61"/>
        <v>12127476.970588237</v>
      </c>
      <c r="G1005" s="554">
        <f t="shared" si="62"/>
        <v>2242873.8143257285</v>
      </c>
      <c r="H1005" s="555">
        <f t="shared" si="63"/>
        <v>2242873.8143257285</v>
      </c>
      <c r="I1005" s="552">
        <f t="shared" si="64"/>
        <v>0</v>
      </c>
      <c r="J1005" s="552"/>
      <c r="K1005" s="572">
        <v>2311328</v>
      </c>
      <c r="L1005" s="556"/>
      <c r="M1005" s="572">
        <v>2311328</v>
      </c>
      <c r="N1005" s="556"/>
      <c r="O1005" s="556"/>
    </row>
    <row r="1006" spans="2:15">
      <c r="C1006" s="974">
        <f>IF(D995="","-",+C1005+1)</f>
        <v>2018</v>
      </c>
      <c r="D1006" s="506">
        <f t="shared" si="60"/>
        <v>12127476.970588237</v>
      </c>
      <c r="E1006" s="549">
        <f t="shared" si="65"/>
        <v>404249.23235294112</v>
      </c>
      <c r="F1006" s="506">
        <f t="shared" si="61"/>
        <v>11723227.738235297</v>
      </c>
      <c r="G1006" s="554">
        <f t="shared" si="62"/>
        <v>2182591.0411462928</v>
      </c>
      <c r="H1006" s="555">
        <f t="shared" si="63"/>
        <v>2182591.0411462928</v>
      </c>
      <c r="I1006" s="552">
        <f t="shared" si="64"/>
        <v>0</v>
      </c>
      <c r="J1006" s="552"/>
      <c r="K1006" s="572">
        <v>2058707</v>
      </c>
      <c r="L1006" s="556"/>
      <c r="M1006" s="572">
        <v>2058707</v>
      </c>
      <c r="N1006" s="556"/>
      <c r="O1006" s="556"/>
    </row>
    <row r="1007" spans="2:15">
      <c r="C1007" s="974">
        <f>IF(D995="","-",+C1006+1)</f>
        <v>2019</v>
      </c>
      <c r="D1007" s="506">
        <f t="shared" si="60"/>
        <v>11723227.738235297</v>
      </c>
      <c r="E1007" s="549">
        <f t="shared" si="65"/>
        <v>404249.23235294112</v>
      </c>
      <c r="F1007" s="506">
        <f t="shared" si="61"/>
        <v>11318978.505882356</v>
      </c>
      <c r="G1007" s="554">
        <f t="shared" si="62"/>
        <v>2122308.2679668576</v>
      </c>
      <c r="H1007" s="555">
        <f t="shared" si="63"/>
        <v>2122308.2679668576</v>
      </c>
      <c r="I1007" s="552">
        <f t="shared" si="64"/>
        <v>0</v>
      </c>
      <c r="J1007" s="552"/>
      <c r="K1007" s="572">
        <v>2106754.5162811661</v>
      </c>
      <c r="L1007" s="556"/>
      <c r="M1007" s="572">
        <v>2106754.5162811661</v>
      </c>
      <c r="N1007" s="556"/>
      <c r="O1007" s="556"/>
    </row>
    <row r="1008" spans="2:15">
      <c r="C1008" s="974">
        <f>IF(D995="","-",+C1007+1)</f>
        <v>2020</v>
      </c>
      <c r="D1008" s="506">
        <f t="shared" si="60"/>
        <v>11318978.505882356</v>
      </c>
      <c r="E1008" s="549">
        <f t="shared" si="65"/>
        <v>404249.23235294112</v>
      </c>
      <c r="F1008" s="506">
        <f t="shared" si="61"/>
        <v>10914729.273529416</v>
      </c>
      <c r="G1008" s="554">
        <f t="shared" si="62"/>
        <v>2062025.4947874215</v>
      </c>
      <c r="H1008" s="555">
        <f t="shared" si="63"/>
        <v>2062025.4947874215</v>
      </c>
      <c r="I1008" s="552">
        <f t="shared" si="64"/>
        <v>0</v>
      </c>
      <c r="J1008" s="552"/>
      <c r="K1008" s="572">
        <v>2201768.4759260132</v>
      </c>
      <c r="L1008" s="556"/>
      <c r="M1008" s="572">
        <v>2201768.4759260132</v>
      </c>
      <c r="N1008" s="556"/>
      <c r="O1008" s="556"/>
    </row>
    <row r="1009" spans="3:15">
      <c r="C1009" s="974">
        <f>IF(D995="","-",+C1008+1)</f>
        <v>2021</v>
      </c>
      <c r="D1009" s="506">
        <f t="shared" si="60"/>
        <v>10914729.273529416</v>
      </c>
      <c r="E1009" s="549">
        <f t="shared" si="65"/>
        <v>404249.23235294112</v>
      </c>
      <c r="F1009" s="506">
        <f t="shared" si="61"/>
        <v>10510480.041176476</v>
      </c>
      <c r="G1009" s="554">
        <f t="shared" si="62"/>
        <v>2001742.7216079864</v>
      </c>
      <c r="H1009" s="555">
        <f t="shared" si="63"/>
        <v>2001742.7216079864</v>
      </c>
      <c r="I1009" s="552">
        <f t="shared" si="64"/>
        <v>0</v>
      </c>
      <c r="J1009" s="552"/>
      <c r="K1009" s="572">
        <v>1980992.0967942781</v>
      </c>
      <c r="L1009" s="556"/>
      <c r="M1009" s="572">
        <v>1980992.0967942781</v>
      </c>
      <c r="N1009" s="556"/>
      <c r="O1009" s="556"/>
    </row>
    <row r="1010" spans="3:15">
      <c r="C1010" s="974">
        <f>IF(D995="","-",+C1009+1)</f>
        <v>2022</v>
      </c>
      <c r="D1010" s="506">
        <f t="shared" si="60"/>
        <v>10510480.041176476</v>
      </c>
      <c r="E1010" s="549">
        <f t="shared" si="65"/>
        <v>404249.23235294112</v>
      </c>
      <c r="F1010" s="506">
        <f t="shared" si="61"/>
        <v>10106230.808823535</v>
      </c>
      <c r="G1010" s="554">
        <f t="shared" si="62"/>
        <v>1941459.9484285505</v>
      </c>
      <c r="H1010" s="555">
        <f t="shared" si="63"/>
        <v>1941459.9484285505</v>
      </c>
      <c r="I1010" s="552">
        <f t="shared" si="64"/>
        <v>0</v>
      </c>
      <c r="J1010" s="552"/>
      <c r="K1010" s="572">
        <v>1974403.4202263819</v>
      </c>
      <c r="L1010" s="556"/>
      <c r="M1010" s="572">
        <v>1974403.4202263819</v>
      </c>
      <c r="N1010" s="556"/>
      <c r="O1010" s="556"/>
    </row>
    <row r="1011" spans="3:15">
      <c r="C1011" s="974">
        <f>IF(D995="","-",+C1010+1)</f>
        <v>2023</v>
      </c>
      <c r="D1011" s="506">
        <f t="shared" si="60"/>
        <v>10106230.808823535</v>
      </c>
      <c r="E1011" s="549">
        <f t="shared" si="65"/>
        <v>404249.23235294112</v>
      </c>
      <c r="F1011" s="506">
        <f t="shared" si="61"/>
        <v>9701981.5764705949</v>
      </c>
      <c r="G1011" s="554">
        <f t="shared" si="62"/>
        <v>1881177.1752491153</v>
      </c>
      <c r="H1011" s="555">
        <f t="shared" si="63"/>
        <v>1881177.1752491153</v>
      </c>
      <c r="I1011" s="552">
        <f t="shared" si="64"/>
        <v>0</v>
      </c>
      <c r="J1011" s="552"/>
      <c r="K1011" s="572">
        <v>1920527.4167347513</v>
      </c>
      <c r="L1011" s="556"/>
      <c r="M1011" s="572">
        <v>1920527.4167347513</v>
      </c>
      <c r="N1011" s="556"/>
      <c r="O1011" s="556"/>
    </row>
    <row r="1012" spans="3:15">
      <c r="C1012" s="548">
        <f>IF(D995="","-",+C1011+1)</f>
        <v>2024</v>
      </c>
      <c r="D1012" s="506">
        <f t="shared" si="60"/>
        <v>9701981.5764705949</v>
      </c>
      <c r="E1012" s="549">
        <f t="shared" si="65"/>
        <v>404249.23235294112</v>
      </c>
      <c r="F1012" s="506">
        <f t="shared" si="61"/>
        <v>9297732.3441176545</v>
      </c>
      <c r="G1012" s="554">
        <f t="shared" si="62"/>
        <v>1820894.4020696795</v>
      </c>
      <c r="H1012" s="555">
        <f t="shared" si="63"/>
        <v>1820894.4020696795</v>
      </c>
      <c r="I1012" s="552">
        <f t="shared" si="64"/>
        <v>0</v>
      </c>
      <c r="J1012" s="552"/>
      <c r="K1012" s="572">
        <v>1832534.5012613796</v>
      </c>
      <c r="L1012" s="556"/>
      <c r="M1012" s="572">
        <v>1832534.5012613796</v>
      </c>
      <c r="N1012" s="556"/>
      <c r="O1012" s="556"/>
    </row>
    <row r="1013" spans="3:15">
      <c r="C1013" s="548">
        <f>IF(D995="","-",+C1012+1)</f>
        <v>2025</v>
      </c>
      <c r="D1013" s="506">
        <f t="shared" si="60"/>
        <v>9297732.3441176545</v>
      </c>
      <c r="E1013" s="549">
        <f t="shared" si="65"/>
        <v>404249.23235294112</v>
      </c>
      <c r="F1013" s="506">
        <f t="shared" si="61"/>
        <v>8893483.1117647141</v>
      </c>
      <c r="G1013" s="554">
        <f t="shared" si="62"/>
        <v>1760611.6288902443</v>
      </c>
      <c r="H1013" s="555">
        <f t="shared" si="63"/>
        <v>1760611.6288902443</v>
      </c>
      <c r="I1013" s="552">
        <f t="shared" si="64"/>
        <v>0</v>
      </c>
      <c r="J1013" s="552"/>
      <c r="K1013" s="572">
        <v>1768553.227664547</v>
      </c>
      <c r="L1013" s="556"/>
      <c r="M1013" s="572">
        <v>1768553.227664547</v>
      </c>
      <c r="N1013" s="557"/>
      <c r="O1013" s="556"/>
    </row>
    <row r="1014" spans="3:15">
      <c r="C1014" s="955">
        <f>IF(D995="","-",+C1013+1)</f>
        <v>2026</v>
      </c>
      <c r="D1014" s="506">
        <f t="shared" si="60"/>
        <v>8893483.1117647141</v>
      </c>
      <c r="E1014" s="549">
        <f t="shared" si="65"/>
        <v>404249.23235294112</v>
      </c>
      <c r="F1014" s="506">
        <f t="shared" si="61"/>
        <v>8489233.8794117738</v>
      </c>
      <c r="G1014" s="554">
        <f t="shared" si="62"/>
        <v>1700328.8557108084</v>
      </c>
      <c r="H1014" s="555">
        <f t="shared" si="63"/>
        <v>1700328.8557108084</v>
      </c>
      <c r="I1014" s="552">
        <f t="shared" si="64"/>
        <v>0</v>
      </c>
      <c r="J1014" s="552"/>
      <c r="K1014" s="572"/>
      <c r="L1014" s="556"/>
      <c r="M1014" s="572"/>
      <c r="N1014" s="556"/>
      <c r="O1014" s="556"/>
    </row>
    <row r="1015" spans="3:15">
      <c r="C1015" s="548">
        <f>IF(D995="","-",+C1014+1)</f>
        <v>2027</v>
      </c>
      <c r="D1015" s="506">
        <f t="shared" si="60"/>
        <v>8489233.8794117738</v>
      </c>
      <c r="E1015" s="549">
        <f t="shared" si="65"/>
        <v>404249.23235294112</v>
      </c>
      <c r="F1015" s="506">
        <f t="shared" si="61"/>
        <v>8084984.6470588325</v>
      </c>
      <c r="G1015" s="554">
        <f t="shared" si="62"/>
        <v>1640046.082531373</v>
      </c>
      <c r="H1015" s="555">
        <f t="shared" si="63"/>
        <v>1640046.082531373</v>
      </c>
      <c r="I1015" s="552">
        <f t="shared" si="64"/>
        <v>0</v>
      </c>
      <c r="J1015" s="552"/>
      <c r="K1015" s="572"/>
      <c r="L1015" s="556"/>
      <c r="M1015" s="572"/>
      <c r="N1015" s="556"/>
      <c r="O1015" s="556"/>
    </row>
    <row r="1016" spans="3:15">
      <c r="C1016" s="548">
        <f>IF(D995="","-",+C1015+1)</f>
        <v>2028</v>
      </c>
      <c r="D1016" s="506">
        <f t="shared" si="60"/>
        <v>8084984.6470588325</v>
      </c>
      <c r="E1016" s="549">
        <f t="shared" si="65"/>
        <v>404249.23235294112</v>
      </c>
      <c r="F1016" s="506">
        <f t="shared" si="61"/>
        <v>7680735.4147058912</v>
      </c>
      <c r="G1016" s="554">
        <f t="shared" si="62"/>
        <v>1579763.3093519374</v>
      </c>
      <c r="H1016" s="555">
        <f t="shared" si="63"/>
        <v>1579763.3093519374</v>
      </c>
      <c r="I1016" s="552">
        <f t="shared" si="64"/>
        <v>0</v>
      </c>
      <c r="J1016" s="552"/>
      <c r="K1016" s="572"/>
      <c r="L1016" s="556"/>
      <c r="M1016" s="572"/>
      <c r="N1016" s="556"/>
      <c r="O1016" s="556"/>
    </row>
    <row r="1017" spans="3:15">
      <c r="C1017" s="548">
        <f>IF(D995="","-",+C1016+1)</f>
        <v>2029</v>
      </c>
      <c r="D1017" s="506">
        <f t="shared" si="60"/>
        <v>7680735.4147058912</v>
      </c>
      <c r="E1017" s="549">
        <f t="shared" si="65"/>
        <v>404249.23235294112</v>
      </c>
      <c r="F1017" s="506">
        <f t="shared" si="61"/>
        <v>7276486.1823529499</v>
      </c>
      <c r="G1017" s="554">
        <f t="shared" si="62"/>
        <v>1519480.5361725015</v>
      </c>
      <c r="H1017" s="555">
        <f t="shared" si="63"/>
        <v>1519480.5361725015</v>
      </c>
      <c r="I1017" s="552">
        <f t="shared" si="64"/>
        <v>0</v>
      </c>
      <c r="J1017" s="552"/>
      <c r="K1017" s="572"/>
      <c r="L1017" s="556"/>
      <c r="M1017" s="572"/>
      <c r="N1017" s="556"/>
      <c r="O1017" s="556"/>
    </row>
    <row r="1018" spans="3:15">
      <c r="C1018" s="548">
        <f>IF(D995="","-",+C1017+1)</f>
        <v>2030</v>
      </c>
      <c r="D1018" s="506">
        <f t="shared" si="60"/>
        <v>7276486.1823529499</v>
      </c>
      <c r="E1018" s="549">
        <f t="shared" si="65"/>
        <v>404249.23235294112</v>
      </c>
      <c r="F1018" s="506">
        <f t="shared" si="61"/>
        <v>6872236.9500000086</v>
      </c>
      <c r="G1018" s="554">
        <f t="shared" si="62"/>
        <v>1459197.7629930661</v>
      </c>
      <c r="H1018" s="555">
        <f t="shared" si="63"/>
        <v>1459197.7629930661</v>
      </c>
      <c r="I1018" s="552">
        <f t="shared" si="64"/>
        <v>0</v>
      </c>
      <c r="J1018" s="552"/>
      <c r="K1018" s="572"/>
      <c r="L1018" s="556"/>
      <c r="M1018" s="572"/>
      <c r="N1018" s="556"/>
      <c r="O1018" s="556"/>
    </row>
    <row r="1019" spans="3:15">
      <c r="C1019" s="548">
        <f>IF(D995="","-",+C1018+1)</f>
        <v>2031</v>
      </c>
      <c r="D1019" s="506">
        <f t="shared" si="60"/>
        <v>6872236.9500000086</v>
      </c>
      <c r="E1019" s="549">
        <f t="shared" si="65"/>
        <v>404249.23235294112</v>
      </c>
      <c r="F1019" s="506">
        <f t="shared" si="61"/>
        <v>6467987.7176470673</v>
      </c>
      <c r="G1019" s="554">
        <f t="shared" si="62"/>
        <v>1398914.9898136305</v>
      </c>
      <c r="H1019" s="555">
        <f t="shared" si="63"/>
        <v>1398914.9898136305</v>
      </c>
      <c r="I1019" s="552">
        <f t="shared" si="64"/>
        <v>0</v>
      </c>
      <c r="J1019" s="552"/>
      <c r="K1019" s="572"/>
      <c r="L1019" s="556"/>
      <c r="M1019" s="572"/>
      <c r="N1019" s="556"/>
      <c r="O1019" s="556"/>
    </row>
    <row r="1020" spans="3:15">
      <c r="C1020" s="548">
        <f>IF(D995="","-",+C1019+1)</f>
        <v>2032</v>
      </c>
      <c r="D1020" s="506">
        <f t="shared" si="60"/>
        <v>6467987.7176470673</v>
      </c>
      <c r="E1020" s="549">
        <f t="shared" si="65"/>
        <v>404249.23235294112</v>
      </c>
      <c r="F1020" s="506">
        <f t="shared" si="61"/>
        <v>6063738.485294126</v>
      </c>
      <c r="G1020" s="554">
        <f t="shared" si="62"/>
        <v>1338632.2166341948</v>
      </c>
      <c r="H1020" s="555">
        <f t="shared" si="63"/>
        <v>1338632.2166341948</v>
      </c>
      <c r="I1020" s="552">
        <f t="shared" si="64"/>
        <v>0</v>
      </c>
      <c r="J1020" s="552"/>
      <c r="K1020" s="572"/>
      <c r="L1020" s="556"/>
      <c r="M1020" s="572"/>
      <c r="N1020" s="556"/>
      <c r="O1020" s="556"/>
    </row>
    <row r="1021" spans="3:15">
      <c r="C1021" s="548">
        <f>IF(D995="","-",+C1020+1)</f>
        <v>2033</v>
      </c>
      <c r="D1021" s="506">
        <f t="shared" si="60"/>
        <v>6063738.485294126</v>
      </c>
      <c r="E1021" s="549">
        <f t="shared" si="65"/>
        <v>404249.23235294112</v>
      </c>
      <c r="F1021" s="506">
        <f t="shared" si="61"/>
        <v>5659489.2529411847</v>
      </c>
      <c r="G1021" s="554">
        <f t="shared" si="62"/>
        <v>1278349.443454759</v>
      </c>
      <c r="H1021" s="555">
        <f t="shared" si="63"/>
        <v>1278349.443454759</v>
      </c>
      <c r="I1021" s="552">
        <f t="shared" si="64"/>
        <v>0</v>
      </c>
      <c r="J1021" s="552"/>
      <c r="K1021" s="572"/>
      <c r="L1021" s="556"/>
      <c r="M1021" s="572"/>
      <c r="N1021" s="556"/>
      <c r="O1021" s="556"/>
    </row>
    <row r="1022" spans="3:15">
      <c r="C1022" s="548">
        <f>IF(D995="","-",+C1021+1)</f>
        <v>2034</v>
      </c>
      <c r="D1022" s="506">
        <f t="shared" si="60"/>
        <v>5659489.2529411847</v>
      </c>
      <c r="E1022" s="549">
        <f t="shared" si="65"/>
        <v>404249.23235294112</v>
      </c>
      <c r="F1022" s="506">
        <f t="shared" si="61"/>
        <v>5255240.0205882434</v>
      </c>
      <c r="G1022" s="554">
        <f t="shared" si="62"/>
        <v>1218066.6702753236</v>
      </c>
      <c r="H1022" s="555">
        <f t="shared" si="63"/>
        <v>1218066.6702753236</v>
      </c>
      <c r="I1022" s="552">
        <f t="shared" si="64"/>
        <v>0</v>
      </c>
      <c r="J1022" s="552"/>
      <c r="K1022" s="572"/>
      <c r="L1022" s="556"/>
      <c r="M1022" s="572"/>
      <c r="N1022" s="556"/>
      <c r="O1022" s="556"/>
    </row>
    <row r="1023" spans="3:15">
      <c r="C1023" s="548">
        <f>IF(D995="","-",+C1022+1)</f>
        <v>2035</v>
      </c>
      <c r="D1023" s="506">
        <f t="shared" si="60"/>
        <v>5255240.0205882434</v>
      </c>
      <c r="E1023" s="549">
        <f t="shared" si="65"/>
        <v>404249.23235294112</v>
      </c>
      <c r="F1023" s="506">
        <f t="shared" si="61"/>
        <v>4850990.7882353021</v>
      </c>
      <c r="G1023" s="554">
        <f t="shared" si="62"/>
        <v>1157783.8970958877</v>
      </c>
      <c r="H1023" s="555">
        <f t="shared" si="63"/>
        <v>1157783.8970958877</v>
      </c>
      <c r="I1023" s="552">
        <f t="shared" si="64"/>
        <v>0</v>
      </c>
      <c r="J1023" s="552"/>
      <c r="K1023" s="572"/>
      <c r="L1023" s="556"/>
      <c r="M1023" s="572"/>
      <c r="N1023" s="556"/>
      <c r="O1023" s="556"/>
    </row>
    <row r="1024" spans="3:15">
      <c r="C1024" s="548">
        <f>IF(D995="","-",+C1023+1)</f>
        <v>2036</v>
      </c>
      <c r="D1024" s="506">
        <f t="shared" si="60"/>
        <v>4850990.7882353021</v>
      </c>
      <c r="E1024" s="549">
        <f t="shared" si="65"/>
        <v>404249.23235294112</v>
      </c>
      <c r="F1024" s="506">
        <f t="shared" si="61"/>
        <v>4446741.5558823608</v>
      </c>
      <c r="G1024" s="554">
        <f t="shared" si="62"/>
        <v>1097501.1239164523</v>
      </c>
      <c r="H1024" s="555">
        <f t="shared" si="63"/>
        <v>1097501.1239164523</v>
      </c>
      <c r="I1024" s="552">
        <f t="shared" si="64"/>
        <v>0</v>
      </c>
      <c r="J1024" s="552"/>
      <c r="K1024" s="572"/>
      <c r="L1024" s="556"/>
      <c r="M1024" s="572"/>
      <c r="N1024" s="556"/>
      <c r="O1024" s="556"/>
    </row>
    <row r="1025" spans="3:15">
      <c r="C1025" s="548">
        <f>IF(D995="","-",+C1024+1)</f>
        <v>2037</v>
      </c>
      <c r="D1025" s="506">
        <f t="shared" si="60"/>
        <v>4446741.5558823608</v>
      </c>
      <c r="E1025" s="549">
        <f t="shared" si="65"/>
        <v>404249.23235294112</v>
      </c>
      <c r="F1025" s="506">
        <f t="shared" si="61"/>
        <v>4042492.3235294195</v>
      </c>
      <c r="G1025" s="554">
        <f t="shared" si="62"/>
        <v>1037218.3507370164</v>
      </c>
      <c r="H1025" s="555">
        <f t="shared" si="63"/>
        <v>1037218.3507370164</v>
      </c>
      <c r="I1025" s="552">
        <f t="shared" si="64"/>
        <v>0</v>
      </c>
      <c r="J1025" s="552"/>
      <c r="K1025" s="572"/>
      <c r="L1025" s="556"/>
      <c r="M1025" s="572"/>
      <c r="N1025" s="556"/>
      <c r="O1025" s="556"/>
    </row>
    <row r="1026" spans="3:15">
      <c r="C1026" s="548">
        <f>IF(D995="","-",+C1025+1)</f>
        <v>2038</v>
      </c>
      <c r="D1026" s="506">
        <f t="shared" si="60"/>
        <v>4042492.3235294195</v>
      </c>
      <c r="E1026" s="549">
        <f t="shared" si="65"/>
        <v>404249.23235294112</v>
      </c>
      <c r="F1026" s="506">
        <f t="shared" si="61"/>
        <v>3638243.0911764782</v>
      </c>
      <c r="G1026" s="554">
        <f t="shared" si="62"/>
        <v>976935.57755758078</v>
      </c>
      <c r="H1026" s="555">
        <f t="shared" si="63"/>
        <v>976935.57755758078</v>
      </c>
      <c r="I1026" s="552">
        <f t="shared" si="64"/>
        <v>0</v>
      </c>
      <c r="J1026" s="552"/>
      <c r="K1026" s="572"/>
      <c r="L1026" s="556"/>
      <c r="M1026" s="572"/>
      <c r="N1026" s="556"/>
      <c r="O1026" s="556"/>
    </row>
    <row r="1027" spans="3:15">
      <c r="C1027" s="548">
        <f>IF(D995="","-",+C1026+1)</f>
        <v>2039</v>
      </c>
      <c r="D1027" s="506">
        <f t="shared" si="60"/>
        <v>3638243.0911764782</v>
      </c>
      <c r="E1027" s="549">
        <f t="shared" si="65"/>
        <v>404249.23235294112</v>
      </c>
      <c r="F1027" s="506">
        <f t="shared" si="61"/>
        <v>3233993.8588235369</v>
      </c>
      <c r="G1027" s="554">
        <f t="shared" si="62"/>
        <v>916652.80437814514</v>
      </c>
      <c r="H1027" s="555">
        <f t="shared" si="63"/>
        <v>916652.80437814514</v>
      </c>
      <c r="I1027" s="552">
        <f t="shared" si="64"/>
        <v>0</v>
      </c>
      <c r="J1027" s="552"/>
      <c r="K1027" s="572"/>
      <c r="L1027" s="556"/>
      <c r="M1027" s="572"/>
      <c r="N1027" s="556"/>
      <c r="O1027" s="556"/>
    </row>
    <row r="1028" spans="3:15">
      <c r="C1028" s="548">
        <f>IF(D995="","-",+C1027+1)</f>
        <v>2040</v>
      </c>
      <c r="D1028" s="506">
        <f t="shared" si="60"/>
        <v>3233993.8588235369</v>
      </c>
      <c r="E1028" s="549">
        <f t="shared" si="65"/>
        <v>404249.23235294112</v>
      </c>
      <c r="F1028" s="506">
        <f t="shared" si="61"/>
        <v>2829744.6264705956</v>
      </c>
      <c r="G1028" s="554">
        <f t="shared" si="62"/>
        <v>856370.0311987095</v>
      </c>
      <c r="H1028" s="555">
        <f t="shared" si="63"/>
        <v>856370.0311987095</v>
      </c>
      <c r="I1028" s="552">
        <f t="shared" si="64"/>
        <v>0</v>
      </c>
      <c r="J1028" s="552"/>
      <c r="K1028" s="572"/>
      <c r="L1028" s="556"/>
      <c r="M1028" s="572"/>
      <c r="N1028" s="556"/>
      <c r="O1028" s="556"/>
    </row>
    <row r="1029" spans="3:15">
      <c r="C1029" s="548">
        <f>IF(D995="","-",+C1028+1)</f>
        <v>2041</v>
      </c>
      <c r="D1029" s="506">
        <f t="shared" si="60"/>
        <v>2829744.6264705956</v>
      </c>
      <c r="E1029" s="549">
        <f t="shared" si="65"/>
        <v>404249.23235294112</v>
      </c>
      <c r="F1029" s="506">
        <f t="shared" si="61"/>
        <v>2425495.3941176543</v>
      </c>
      <c r="G1029" s="550">
        <f t="shared" si="62"/>
        <v>796087.25801927387</v>
      </c>
      <c r="H1029" s="555">
        <f t="shared" si="63"/>
        <v>796087.25801927387</v>
      </c>
      <c r="I1029" s="552">
        <f t="shared" si="64"/>
        <v>0</v>
      </c>
      <c r="J1029" s="552"/>
      <c r="K1029" s="572"/>
      <c r="L1029" s="556"/>
      <c r="M1029" s="572"/>
      <c r="N1029" s="556"/>
      <c r="O1029" s="556"/>
    </row>
    <row r="1030" spans="3:15">
      <c r="C1030" s="548">
        <f>IF(D995="","-",+C1029+1)</f>
        <v>2042</v>
      </c>
      <c r="D1030" s="506">
        <f t="shared" si="60"/>
        <v>2425495.3941176543</v>
      </c>
      <c r="E1030" s="549">
        <f t="shared" si="65"/>
        <v>404249.23235294112</v>
      </c>
      <c r="F1030" s="506">
        <f t="shared" si="61"/>
        <v>2021246.1617647132</v>
      </c>
      <c r="G1030" s="554">
        <f t="shared" si="62"/>
        <v>735804.48483983823</v>
      </c>
      <c r="H1030" s="555">
        <f t="shared" si="63"/>
        <v>735804.48483983823</v>
      </c>
      <c r="I1030" s="552">
        <f t="shared" si="64"/>
        <v>0</v>
      </c>
      <c r="J1030" s="552"/>
      <c r="K1030" s="572"/>
      <c r="L1030" s="556"/>
      <c r="M1030" s="572"/>
      <c r="N1030" s="556"/>
      <c r="O1030" s="556"/>
    </row>
    <row r="1031" spans="3:15">
      <c r="C1031" s="548">
        <f>IF(D995="","-",+C1030+1)</f>
        <v>2043</v>
      </c>
      <c r="D1031" s="506">
        <f t="shared" si="60"/>
        <v>2021246.1617647132</v>
      </c>
      <c r="E1031" s="549">
        <f t="shared" si="65"/>
        <v>404249.23235294112</v>
      </c>
      <c r="F1031" s="506">
        <f t="shared" si="61"/>
        <v>1616996.9294117722</v>
      </c>
      <c r="G1031" s="554">
        <f t="shared" si="62"/>
        <v>675521.71166040259</v>
      </c>
      <c r="H1031" s="555">
        <f t="shared" si="63"/>
        <v>675521.71166040259</v>
      </c>
      <c r="I1031" s="552">
        <f t="shared" si="64"/>
        <v>0</v>
      </c>
      <c r="J1031" s="552"/>
      <c r="K1031" s="572"/>
      <c r="L1031" s="556"/>
      <c r="M1031" s="572"/>
      <c r="N1031" s="556"/>
      <c r="O1031" s="556"/>
    </row>
    <row r="1032" spans="3:15">
      <c r="C1032" s="548">
        <f>IF(D995="","-",+C1031+1)</f>
        <v>2044</v>
      </c>
      <c r="D1032" s="506">
        <f t="shared" si="60"/>
        <v>1616996.9294117722</v>
      </c>
      <c r="E1032" s="549">
        <f t="shared" si="65"/>
        <v>404249.23235294112</v>
      </c>
      <c r="F1032" s="506">
        <f t="shared" si="61"/>
        <v>1212747.6970588311</v>
      </c>
      <c r="G1032" s="554">
        <f t="shared" si="62"/>
        <v>615238.93848096696</v>
      </c>
      <c r="H1032" s="555">
        <f t="shared" si="63"/>
        <v>615238.93848096696</v>
      </c>
      <c r="I1032" s="552">
        <f t="shared" si="64"/>
        <v>0</v>
      </c>
      <c r="J1032" s="552"/>
      <c r="K1032" s="572"/>
      <c r="L1032" s="556"/>
      <c r="M1032" s="572"/>
      <c r="N1032" s="556"/>
      <c r="O1032" s="556"/>
    </row>
    <row r="1033" spans="3:15">
      <c r="C1033" s="548">
        <f>IF(D995="","-",+C1032+1)</f>
        <v>2045</v>
      </c>
      <c r="D1033" s="506">
        <f t="shared" si="60"/>
        <v>1212747.6970588311</v>
      </c>
      <c r="E1033" s="549">
        <f t="shared" si="65"/>
        <v>404249.23235294112</v>
      </c>
      <c r="F1033" s="506">
        <f t="shared" si="61"/>
        <v>808498.46470589004</v>
      </c>
      <c r="G1033" s="554">
        <f t="shared" si="62"/>
        <v>554956.16530153132</v>
      </c>
      <c r="H1033" s="555">
        <f t="shared" si="63"/>
        <v>554956.16530153132</v>
      </c>
      <c r="I1033" s="552">
        <f t="shared" si="64"/>
        <v>0</v>
      </c>
      <c r="J1033" s="552"/>
      <c r="K1033" s="572"/>
      <c r="L1033" s="556"/>
      <c r="M1033" s="572"/>
      <c r="N1033" s="556"/>
      <c r="O1033" s="556"/>
    </row>
    <row r="1034" spans="3:15">
      <c r="C1034" s="548">
        <f>IF(D995="","-",+C1033+1)</f>
        <v>2046</v>
      </c>
      <c r="D1034" s="506">
        <f t="shared" si="60"/>
        <v>808498.46470589004</v>
      </c>
      <c r="E1034" s="549">
        <f t="shared" si="65"/>
        <v>404249.23235294112</v>
      </c>
      <c r="F1034" s="506">
        <f t="shared" si="61"/>
        <v>404249.23235294892</v>
      </c>
      <c r="G1034" s="554">
        <f t="shared" si="62"/>
        <v>494673.39212209574</v>
      </c>
      <c r="H1034" s="555">
        <f t="shared" si="63"/>
        <v>494673.39212209574</v>
      </c>
      <c r="I1034" s="552">
        <f t="shared" si="64"/>
        <v>0</v>
      </c>
      <c r="J1034" s="552"/>
      <c r="K1034" s="572"/>
      <c r="L1034" s="556"/>
      <c r="M1034" s="572"/>
      <c r="N1034" s="556"/>
      <c r="O1034" s="556"/>
    </row>
    <row r="1035" spans="3:15">
      <c r="C1035" s="548">
        <f>IF(D995="","-",+C1034+1)</f>
        <v>2047</v>
      </c>
      <c r="D1035" s="506">
        <f t="shared" si="60"/>
        <v>404249.23235294892</v>
      </c>
      <c r="E1035" s="549">
        <f t="shared" si="65"/>
        <v>404249.23235294112</v>
      </c>
      <c r="F1035" s="506">
        <f t="shared" si="61"/>
        <v>7.7998265624046326E-9</v>
      </c>
      <c r="G1035" s="554">
        <f t="shared" si="62"/>
        <v>434390.6189426601</v>
      </c>
      <c r="H1035" s="555">
        <f t="shared" si="63"/>
        <v>434390.6189426601</v>
      </c>
      <c r="I1035" s="552">
        <f t="shared" si="64"/>
        <v>0</v>
      </c>
      <c r="J1035" s="552"/>
      <c r="K1035" s="572"/>
      <c r="L1035" s="556"/>
      <c r="M1035" s="572"/>
      <c r="N1035" s="556"/>
      <c r="O1035" s="556"/>
    </row>
    <row r="1036" spans="3:15">
      <c r="C1036" s="548">
        <f>IF(D995="","-",+C1035+1)</f>
        <v>2048</v>
      </c>
      <c r="D1036" s="506">
        <f t="shared" si="60"/>
        <v>7.7998265624046326E-9</v>
      </c>
      <c r="E1036" s="549">
        <f t="shared" si="65"/>
        <v>7.7998265624046326E-9</v>
      </c>
      <c r="F1036" s="506">
        <f t="shared" si="61"/>
        <v>0</v>
      </c>
      <c r="G1036" s="554">
        <f t="shared" si="62"/>
        <v>8.3813925096837341E-9</v>
      </c>
      <c r="H1036" s="555">
        <f t="shared" si="63"/>
        <v>8.3813925096837341E-9</v>
      </c>
      <c r="I1036" s="552">
        <f t="shared" si="64"/>
        <v>0</v>
      </c>
      <c r="J1036" s="552"/>
      <c r="K1036" s="572"/>
      <c r="L1036" s="556"/>
      <c r="M1036" s="572"/>
      <c r="N1036" s="556"/>
      <c r="O1036" s="556"/>
    </row>
    <row r="1037" spans="3:15">
      <c r="C1037" s="548">
        <f>IF(D995="","-",+C1036+1)</f>
        <v>2049</v>
      </c>
      <c r="D1037" s="506">
        <f t="shared" si="60"/>
        <v>0</v>
      </c>
      <c r="E1037" s="549">
        <f t="shared" si="65"/>
        <v>0</v>
      </c>
      <c r="F1037" s="506">
        <f t="shared" si="61"/>
        <v>0</v>
      </c>
      <c r="G1037" s="554">
        <f t="shared" si="62"/>
        <v>0</v>
      </c>
      <c r="H1037" s="555">
        <f t="shared" si="63"/>
        <v>0</v>
      </c>
      <c r="I1037" s="552">
        <f t="shared" si="64"/>
        <v>0</v>
      </c>
      <c r="J1037" s="552"/>
      <c r="K1037" s="572"/>
      <c r="L1037" s="556"/>
      <c r="M1037" s="572"/>
      <c r="N1037" s="556"/>
      <c r="O1037" s="556"/>
    </row>
    <row r="1038" spans="3:15">
      <c r="C1038" s="548">
        <f>IF(D995="","-",+C1037+1)</f>
        <v>2050</v>
      </c>
      <c r="D1038" s="506">
        <f t="shared" si="60"/>
        <v>0</v>
      </c>
      <c r="E1038" s="549">
        <f t="shared" si="65"/>
        <v>0</v>
      </c>
      <c r="F1038" s="506">
        <f t="shared" si="61"/>
        <v>0</v>
      </c>
      <c r="G1038" s="554">
        <f t="shared" si="62"/>
        <v>0</v>
      </c>
      <c r="H1038" s="555">
        <f t="shared" si="63"/>
        <v>0</v>
      </c>
      <c r="I1038" s="552">
        <f t="shared" si="64"/>
        <v>0</v>
      </c>
      <c r="J1038" s="552"/>
      <c r="K1038" s="572"/>
      <c r="L1038" s="556"/>
      <c r="M1038" s="572"/>
      <c r="N1038" s="556"/>
      <c r="O1038" s="556"/>
    </row>
    <row r="1039" spans="3:15">
      <c r="C1039" s="548">
        <f>IF(D995="","-",+C1038+1)</f>
        <v>2051</v>
      </c>
      <c r="D1039" s="506">
        <f t="shared" si="60"/>
        <v>0</v>
      </c>
      <c r="E1039" s="549">
        <f t="shared" si="65"/>
        <v>0</v>
      </c>
      <c r="F1039" s="506">
        <f t="shared" si="61"/>
        <v>0</v>
      </c>
      <c r="G1039" s="554">
        <f t="shared" si="62"/>
        <v>0</v>
      </c>
      <c r="H1039" s="555">
        <f t="shared" si="63"/>
        <v>0</v>
      </c>
      <c r="I1039" s="552">
        <f t="shared" si="64"/>
        <v>0</v>
      </c>
      <c r="J1039" s="552"/>
      <c r="K1039" s="572"/>
      <c r="L1039" s="556"/>
      <c r="M1039" s="572"/>
      <c r="N1039" s="556"/>
      <c r="O1039" s="556"/>
    </row>
    <row r="1040" spans="3:15">
      <c r="C1040" s="548">
        <f>IF(D995="","-",+C1039+1)</f>
        <v>2052</v>
      </c>
      <c r="D1040" s="506">
        <f t="shared" si="60"/>
        <v>0</v>
      </c>
      <c r="E1040" s="549">
        <f t="shared" si="65"/>
        <v>0</v>
      </c>
      <c r="F1040" s="506">
        <f t="shared" si="61"/>
        <v>0</v>
      </c>
      <c r="G1040" s="554">
        <f t="shared" si="62"/>
        <v>0</v>
      </c>
      <c r="H1040" s="555">
        <f t="shared" si="63"/>
        <v>0</v>
      </c>
      <c r="I1040" s="552">
        <f t="shared" si="64"/>
        <v>0</v>
      </c>
      <c r="J1040" s="552"/>
      <c r="K1040" s="572"/>
      <c r="L1040" s="556"/>
      <c r="M1040" s="572"/>
      <c r="N1040" s="556"/>
      <c r="O1040" s="556"/>
    </row>
    <row r="1041" spans="3:15">
      <c r="C1041" s="548">
        <f>IF(D995="","-",+C1040+1)</f>
        <v>2053</v>
      </c>
      <c r="D1041" s="506">
        <f t="shared" si="60"/>
        <v>0</v>
      </c>
      <c r="E1041" s="549">
        <f t="shared" si="65"/>
        <v>0</v>
      </c>
      <c r="F1041" s="506">
        <f t="shared" si="61"/>
        <v>0</v>
      </c>
      <c r="G1041" s="554">
        <f t="shared" si="62"/>
        <v>0</v>
      </c>
      <c r="H1041" s="555">
        <f t="shared" si="63"/>
        <v>0</v>
      </c>
      <c r="I1041" s="552">
        <f t="shared" si="64"/>
        <v>0</v>
      </c>
      <c r="J1041" s="552"/>
      <c r="K1041" s="572"/>
      <c r="L1041" s="556"/>
      <c r="M1041" s="572"/>
      <c r="N1041" s="556"/>
      <c r="O1041" s="556"/>
    </row>
    <row r="1042" spans="3:15">
      <c r="C1042" s="548">
        <f>IF(D995="","-",+C1041+1)</f>
        <v>2054</v>
      </c>
      <c r="D1042" s="506">
        <f t="shared" si="60"/>
        <v>0</v>
      </c>
      <c r="E1042" s="549">
        <f t="shared" si="65"/>
        <v>0</v>
      </c>
      <c r="F1042" s="506">
        <f t="shared" si="61"/>
        <v>0</v>
      </c>
      <c r="G1042" s="554">
        <f t="shared" si="62"/>
        <v>0</v>
      </c>
      <c r="H1042" s="555">
        <f t="shared" si="63"/>
        <v>0</v>
      </c>
      <c r="I1042" s="552">
        <f t="shared" si="64"/>
        <v>0</v>
      </c>
      <c r="J1042" s="552"/>
      <c r="K1042" s="572"/>
      <c r="L1042" s="556"/>
      <c r="M1042" s="572"/>
      <c r="N1042" s="556"/>
      <c r="O1042" s="556"/>
    </row>
    <row r="1043" spans="3:15">
      <c r="C1043" s="548">
        <f>IF(D995="","-",+C1042+1)</f>
        <v>2055</v>
      </c>
      <c r="D1043" s="506">
        <f t="shared" si="60"/>
        <v>0</v>
      </c>
      <c r="E1043" s="549">
        <f t="shared" si="65"/>
        <v>0</v>
      </c>
      <c r="F1043" s="506">
        <f t="shared" si="61"/>
        <v>0</v>
      </c>
      <c r="G1043" s="554">
        <f t="shared" si="62"/>
        <v>0</v>
      </c>
      <c r="H1043" s="555">
        <f t="shared" si="63"/>
        <v>0</v>
      </c>
      <c r="I1043" s="552">
        <f t="shared" si="64"/>
        <v>0</v>
      </c>
      <c r="J1043" s="552"/>
      <c r="K1043" s="572"/>
      <c r="L1043" s="556"/>
      <c r="M1043" s="572"/>
      <c r="N1043" s="556"/>
      <c r="O1043" s="556"/>
    </row>
    <row r="1044" spans="3:15">
      <c r="C1044" s="548">
        <f>IF(D995="","-",+C1043+1)</f>
        <v>2056</v>
      </c>
      <c r="D1044" s="506">
        <f t="shared" si="60"/>
        <v>0</v>
      </c>
      <c r="E1044" s="549">
        <f t="shared" si="65"/>
        <v>0</v>
      </c>
      <c r="F1044" s="506">
        <f t="shared" si="61"/>
        <v>0</v>
      </c>
      <c r="G1044" s="554">
        <f t="shared" si="62"/>
        <v>0</v>
      </c>
      <c r="H1044" s="555">
        <f t="shared" si="63"/>
        <v>0</v>
      </c>
      <c r="I1044" s="552">
        <f t="shared" si="64"/>
        <v>0</v>
      </c>
      <c r="J1044" s="552"/>
      <c r="K1044" s="572"/>
      <c r="L1044" s="556"/>
      <c r="M1044" s="572"/>
      <c r="N1044" s="556"/>
      <c r="O1044" s="556"/>
    </row>
    <row r="1045" spans="3:15">
      <c r="C1045" s="548">
        <f>IF(D995="","-",+C1044+1)</f>
        <v>2057</v>
      </c>
      <c r="D1045" s="506">
        <f t="shared" si="60"/>
        <v>0</v>
      </c>
      <c r="E1045" s="549">
        <f t="shared" si="65"/>
        <v>0</v>
      </c>
      <c r="F1045" s="506">
        <f t="shared" si="61"/>
        <v>0</v>
      </c>
      <c r="G1045" s="554">
        <f t="shared" si="62"/>
        <v>0</v>
      </c>
      <c r="H1045" s="555">
        <f t="shared" si="63"/>
        <v>0</v>
      </c>
      <c r="I1045" s="552">
        <f t="shared" si="64"/>
        <v>0</v>
      </c>
      <c r="J1045" s="552"/>
      <c r="K1045" s="572"/>
      <c r="L1045" s="556"/>
      <c r="M1045" s="572"/>
      <c r="N1045" s="556"/>
      <c r="O1045" s="556"/>
    </row>
    <row r="1046" spans="3:15">
      <c r="C1046" s="548">
        <f>IF(D995="","-",+C1045+1)</f>
        <v>2058</v>
      </c>
      <c r="D1046" s="506">
        <f t="shared" si="60"/>
        <v>0</v>
      </c>
      <c r="E1046" s="549">
        <f t="shared" si="65"/>
        <v>0</v>
      </c>
      <c r="F1046" s="506">
        <f t="shared" si="61"/>
        <v>0</v>
      </c>
      <c r="G1046" s="554">
        <f t="shared" si="62"/>
        <v>0</v>
      </c>
      <c r="H1046" s="555">
        <f t="shared" si="63"/>
        <v>0</v>
      </c>
      <c r="I1046" s="552">
        <f t="shared" si="64"/>
        <v>0</v>
      </c>
      <c r="J1046" s="552"/>
      <c r="K1046" s="572"/>
      <c r="L1046" s="556"/>
      <c r="M1046" s="572"/>
      <c r="N1046" s="556"/>
      <c r="O1046" s="556"/>
    </row>
    <row r="1047" spans="3:15">
      <c r="C1047" s="548">
        <f>IF(D995="","-",+C1046+1)</f>
        <v>2059</v>
      </c>
      <c r="D1047" s="506">
        <f t="shared" si="60"/>
        <v>0</v>
      </c>
      <c r="E1047" s="549">
        <f t="shared" si="65"/>
        <v>0</v>
      </c>
      <c r="F1047" s="506">
        <f t="shared" si="61"/>
        <v>0</v>
      </c>
      <c r="G1047" s="554">
        <f t="shared" si="62"/>
        <v>0</v>
      </c>
      <c r="H1047" s="555">
        <f t="shared" si="63"/>
        <v>0</v>
      </c>
      <c r="I1047" s="552">
        <f t="shared" si="64"/>
        <v>0</v>
      </c>
      <c r="J1047" s="552"/>
      <c r="K1047" s="572"/>
      <c r="L1047" s="556"/>
      <c r="M1047" s="572"/>
      <c r="N1047" s="556"/>
      <c r="O1047" s="556"/>
    </row>
    <row r="1048" spans="3:15">
      <c r="C1048" s="548">
        <f>IF(D995="","-",+C1047+1)</f>
        <v>2060</v>
      </c>
      <c r="D1048" s="506">
        <f t="shared" si="60"/>
        <v>0</v>
      </c>
      <c r="E1048" s="549">
        <f t="shared" si="65"/>
        <v>0</v>
      </c>
      <c r="F1048" s="506">
        <f t="shared" si="61"/>
        <v>0</v>
      </c>
      <c r="G1048" s="554">
        <f t="shared" si="62"/>
        <v>0</v>
      </c>
      <c r="H1048" s="555">
        <f t="shared" si="63"/>
        <v>0</v>
      </c>
      <c r="I1048" s="552">
        <f t="shared" si="64"/>
        <v>0</v>
      </c>
      <c r="J1048" s="552"/>
      <c r="K1048" s="572"/>
      <c r="L1048" s="556"/>
      <c r="M1048" s="572"/>
      <c r="N1048" s="556"/>
      <c r="O1048" s="556"/>
    </row>
    <row r="1049" spans="3:15">
      <c r="C1049" s="548">
        <f>IF(D995="","-",+C1048+1)</f>
        <v>2061</v>
      </c>
      <c r="D1049" s="506">
        <f t="shared" si="60"/>
        <v>0</v>
      </c>
      <c r="E1049" s="549">
        <f t="shared" si="65"/>
        <v>0</v>
      </c>
      <c r="F1049" s="506">
        <f t="shared" si="61"/>
        <v>0</v>
      </c>
      <c r="G1049" s="554">
        <f t="shared" si="62"/>
        <v>0</v>
      </c>
      <c r="H1049" s="555">
        <f t="shared" si="63"/>
        <v>0</v>
      </c>
      <c r="I1049" s="552">
        <f t="shared" si="64"/>
        <v>0</v>
      </c>
      <c r="J1049" s="552"/>
      <c r="K1049" s="572"/>
      <c r="L1049" s="556"/>
      <c r="M1049" s="572"/>
      <c r="N1049" s="556"/>
      <c r="O1049" s="556"/>
    </row>
    <row r="1050" spans="3:15">
      <c r="C1050" s="548">
        <f>IF(D995="","-",+C1049+1)</f>
        <v>2062</v>
      </c>
      <c r="D1050" s="506">
        <f t="shared" si="60"/>
        <v>0</v>
      </c>
      <c r="E1050" s="549">
        <f t="shared" si="65"/>
        <v>0</v>
      </c>
      <c r="F1050" s="506">
        <f t="shared" si="61"/>
        <v>0</v>
      </c>
      <c r="G1050" s="554">
        <f t="shared" si="62"/>
        <v>0</v>
      </c>
      <c r="H1050" s="555">
        <f t="shared" si="63"/>
        <v>0</v>
      </c>
      <c r="I1050" s="552">
        <f t="shared" si="64"/>
        <v>0</v>
      </c>
      <c r="J1050" s="552"/>
      <c r="K1050" s="572"/>
      <c r="L1050" s="556"/>
      <c r="M1050" s="572"/>
      <c r="N1050" s="556"/>
      <c r="O1050" s="556"/>
    </row>
    <row r="1051" spans="3:15">
      <c r="C1051" s="548">
        <f>IF(D995="","-",+C1050+1)</f>
        <v>2063</v>
      </c>
      <c r="D1051" s="506">
        <f t="shared" si="60"/>
        <v>0</v>
      </c>
      <c r="E1051" s="549">
        <f t="shared" si="65"/>
        <v>0</v>
      </c>
      <c r="F1051" s="506">
        <f t="shared" si="61"/>
        <v>0</v>
      </c>
      <c r="G1051" s="554">
        <f t="shared" si="62"/>
        <v>0</v>
      </c>
      <c r="H1051" s="555">
        <f t="shared" si="63"/>
        <v>0</v>
      </c>
      <c r="I1051" s="552">
        <f t="shared" si="64"/>
        <v>0</v>
      </c>
      <c r="J1051" s="552"/>
      <c r="K1051" s="572"/>
      <c r="L1051" s="556"/>
      <c r="M1051" s="572"/>
      <c r="N1051" s="556"/>
      <c r="O1051" s="556"/>
    </row>
    <row r="1052" spans="3:15">
      <c r="C1052" s="548">
        <f>IF(D995="","-",+C1051+1)</f>
        <v>2064</v>
      </c>
      <c r="D1052" s="506">
        <f t="shared" si="60"/>
        <v>0</v>
      </c>
      <c r="E1052" s="549">
        <f t="shared" si="65"/>
        <v>0</v>
      </c>
      <c r="F1052" s="506">
        <f t="shared" si="61"/>
        <v>0</v>
      </c>
      <c r="G1052" s="554">
        <f t="shared" si="62"/>
        <v>0</v>
      </c>
      <c r="H1052" s="555">
        <f t="shared" si="63"/>
        <v>0</v>
      </c>
      <c r="I1052" s="552">
        <f t="shared" si="64"/>
        <v>0</v>
      </c>
      <c r="J1052" s="552"/>
      <c r="K1052" s="572"/>
      <c r="L1052" s="556"/>
      <c r="M1052" s="572"/>
      <c r="N1052" s="556"/>
      <c r="O1052" s="556"/>
    </row>
    <row r="1053" spans="3:15">
      <c r="C1053" s="548">
        <f>IF(D995="","-",+C1052+1)</f>
        <v>2065</v>
      </c>
      <c r="D1053" s="506">
        <f t="shared" si="60"/>
        <v>0</v>
      </c>
      <c r="E1053" s="549">
        <f t="shared" si="65"/>
        <v>0</v>
      </c>
      <c r="F1053" s="506">
        <f t="shared" si="61"/>
        <v>0</v>
      </c>
      <c r="G1053" s="554">
        <f t="shared" si="62"/>
        <v>0</v>
      </c>
      <c r="H1053" s="555">
        <f t="shared" si="63"/>
        <v>0</v>
      </c>
      <c r="I1053" s="552">
        <f t="shared" si="64"/>
        <v>0</v>
      </c>
      <c r="J1053" s="552"/>
      <c r="K1053" s="572"/>
      <c r="L1053" s="556"/>
      <c r="M1053" s="572"/>
      <c r="N1053" s="556"/>
      <c r="O1053" s="556"/>
    </row>
    <row r="1054" spans="3:15">
      <c r="C1054" s="548">
        <f>IF(D995="","-",+C1053+1)</f>
        <v>2066</v>
      </c>
      <c r="D1054" s="506">
        <f t="shared" si="60"/>
        <v>0</v>
      </c>
      <c r="E1054" s="549">
        <f t="shared" si="65"/>
        <v>0</v>
      </c>
      <c r="F1054" s="506">
        <f t="shared" si="61"/>
        <v>0</v>
      </c>
      <c r="G1054" s="554">
        <f t="shared" si="62"/>
        <v>0</v>
      </c>
      <c r="H1054" s="555">
        <f t="shared" si="63"/>
        <v>0</v>
      </c>
      <c r="I1054" s="552">
        <f t="shared" si="64"/>
        <v>0</v>
      </c>
      <c r="J1054" s="552"/>
      <c r="K1054" s="572"/>
      <c r="L1054" s="556"/>
      <c r="M1054" s="572"/>
      <c r="N1054" s="556"/>
      <c r="O1054" s="556"/>
    </row>
    <row r="1055" spans="3:15">
      <c r="C1055" s="548">
        <f>IF(D995="","-",+C1054+1)</f>
        <v>2067</v>
      </c>
      <c r="D1055" s="506">
        <f t="shared" si="60"/>
        <v>0</v>
      </c>
      <c r="E1055" s="549">
        <f t="shared" si="65"/>
        <v>0</v>
      </c>
      <c r="F1055" s="506">
        <f t="shared" si="61"/>
        <v>0</v>
      </c>
      <c r="G1055" s="554">
        <f t="shared" si="62"/>
        <v>0</v>
      </c>
      <c r="H1055" s="555">
        <f t="shared" si="63"/>
        <v>0</v>
      </c>
      <c r="I1055" s="552">
        <f t="shared" si="64"/>
        <v>0</v>
      </c>
      <c r="J1055" s="552"/>
      <c r="K1055" s="572"/>
      <c r="L1055" s="556"/>
      <c r="M1055" s="572"/>
      <c r="N1055" s="556"/>
      <c r="O1055" s="556"/>
    </row>
    <row r="1056" spans="3:15">
      <c r="C1056" s="548">
        <f>IF(D995="","-",+C1055+1)</f>
        <v>2068</v>
      </c>
      <c r="D1056" s="506">
        <f t="shared" si="60"/>
        <v>0</v>
      </c>
      <c r="E1056" s="549">
        <f t="shared" si="65"/>
        <v>0</v>
      </c>
      <c r="F1056" s="506">
        <f t="shared" si="61"/>
        <v>0</v>
      </c>
      <c r="G1056" s="554">
        <f t="shared" si="62"/>
        <v>0</v>
      </c>
      <c r="H1056" s="555">
        <f t="shared" si="63"/>
        <v>0</v>
      </c>
      <c r="I1056" s="552">
        <f t="shared" si="64"/>
        <v>0</v>
      </c>
      <c r="J1056" s="552"/>
      <c r="K1056" s="572"/>
      <c r="L1056" s="556"/>
      <c r="M1056" s="572"/>
      <c r="N1056" s="556"/>
      <c r="O1056" s="556"/>
    </row>
    <row r="1057" spans="1:16">
      <c r="C1057" s="548">
        <f>IF(D995="","-",+C1056+1)</f>
        <v>2069</v>
      </c>
      <c r="D1057" s="506">
        <f t="shared" si="60"/>
        <v>0</v>
      </c>
      <c r="E1057" s="549">
        <f t="shared" si="65"/>
        <v>0</v>
      </c>
      <c r="F1057" s="506">
        <f t="shared" si="61"/>
        <v>0</v>
      </c>
      <c r="G1057" s="554">
        <f t="shared" si="62"/>
        <v>0</v>
      </c>
      <c r="H1057" s="555">
        <f t="shared" si="63"/>
        <v>0</v>
      </c>
      <c r="I1057" s="552">
        <f t="shared" si="64"/>
        <v>0</v>
      </c>
      <c r="J1057" s="552"/>
      <c r="K1057" s="572"/>
      <c r="L1057" s="556"/>
      <c r="M1057" s="572"/>
      <c r="N1057" s="556"/>
      <c r="O1057" s="556"/>
    </row>
    <row r="1058" spans="1:16">
      <c r="C1058" s="548">
        <f>IF(D995="","-",+C1057+1)</f>
        <v>2070</v>
      </c>
      <c r="D1058" s="506">
        <f t="shared" si="60"/>
        <v>0</v>
      </c>
      <c r="E1058" s="549">
        <f t="shared" si="65"/>
        <v>0</v>
      </c>
      <c r="F1058" s="506">
        <f t="shared" si="61"/>
        <v>0</v>
      </c>
      <c r="G1058" s="554">
        <f t="shared" si="62"/>
        <v>0</v>
      </c>
      <c r="H1058" s="555">
        <f t="shared" si="63"/>
        <v>0</v>
      </c>
      <c r="I1058" s="552">
        <f t="shared" si="64"/>
        <v>0</v>
      </c>
      <c r="J1058" s="552"/>
      <c r="K1058" s="572"/>
      <c r="L1058" s="556"/>
      <c r="M1058" s="572"/>
      <c r="N1058" s="556"/>
      <c r="O1058" s="556"/>
    </row>
    <row r="1059" spans="1:16">
      <c r="C1059" s="548">
        <f>IF(D995="","-",+C1058+1)</f>
        <v>2071</v>
      </c>
      <c r="D1059" s="506">
        <f t="shared" si="60"/>
        <v>0</v>
      </c>
      <c r="E1059" s="549">
        <f t="shared" si="65"/>
        <v>0</v>
      </c>
      <c r="F1059" s="506">
        <f t="shared" si="61"/>
        <v>0</v>
      </c>
      <c r="G1059" s="554">
        <f t="shared" si="62"/>
        <v>0</v>
      </c>
      <c r="H1059" s="555">
        <f t="shared" si="63"/>
        <v>0</v>
      </c>
      <c r="I1059" s="552">
        <f t="shared" si="64"/>
        <v>0</v>
      </c>
      <c r="J1059" s="552"/>
      <c r="K1059" s="572"/>
      <c r="L1059" s="556"/>
      <c r="M1059" s="572"/>
      <c r="N1059" s="556"/>
      <c r="O1059" s="556"/>
    </row>
    <row r="1060" spans="1:16" ht="13.5" thickBot="1">
      <c r="C1060" s="558">
        <f>IF(D995="","-",+C1059+1)</f>
        <v>2072</v>
      </c>
      <c r="D1060" s="559">
        <f t="shared" si="60"/>
        <v>0</v>
      </c>
      <c r="E1060" s="560">
        <f t="shared" si="65"/>
        <v>0</v>
      </c>
      <c r="F1060" s="559">
        <f t="shared" si="61"/>
        <v>0</v>
      </c>
      <c r="G1060" s="561">
        <f t="shared" si="62"/>
        <v>0</v>
      </c>
      <c r="H1060" s="561">
        <f t="shared" si="63"/>
        <v>0</v>
      </c>
      <c r="I1060" s="562">
        <f t="shared" si="64"/>
        <v>0</v>
      </c>
      <c r="J1060" s="552"/>
      <c r="K1060" s="573"/>
      <c r="L1060" s="563"/>
      <c r="M1060" s="573"/>
      <c r="N1060" s="563"/>
      <c r="O1060" s="563"/>
    </row>
    <row r="1061" spans="1:16">
      <c r="C1061" s="506" t="s">
        <v>83</v>
      </c>
      <c r="D1061" s="503"/>
      <c r="E1061" s="503">
        <f>SUM(E1001:E1060)</f>
        <v>13744473.899999999</v>
      </c>
      <c r="F1061" s="503"/>
      <c r="G1061" s="503">
        <f>SUM(G1001:G1060)</f>
        <v>50637531.085814655</v>
      </c>
      <c r="H1061" s="503">
        <f>SUM(H1001:H1060)</f>
        <v>50637531.085814655</v>
      </c>
      <c r="I1061" s="503">
        <f>SUM(I1001:I1060)</f>
        <v>0</v>
      </c>
      <c r="J1061" s="503"/>
      <c r="K1061" s="503"/>
      <c r="L1061" s="503"/>
      <c r="M1061" s="503"/>
      <c r="N1061" s="503"/>
      <c r="O1061" s="3"/>
    </row>
    <row r="1062" spans="1:16">
      <c r="D1062" s="47"/>
      <c r="E1062" s="3"/>
      <c r="F1062" s="3"/>
      <c r="G1062" s="3"/>
      <c r="H1062" s="490"/>
      <c r="I1062" s="490"/>
      <c r="J1062" s="503"/>
      <c r="K1062" s="490"/>
      <c r="L1062" s="490"/>
      <c r="M1062" s="490"/>
      <c r="N1062" s="490"/>
      <c r="O1062" s="3"/>
    </row>
    <row r="1063" spans="1:16">
      <c r="C1063" s="3" t="s">
        <v>13</v>
      </c>
      <c r="D1063" s="47"/>
      <c r="E1063" s="3"/>
      <c r="F1063" s="3"/>
      <c r="G1063" s="3"/>
      <c r="H1063" s="490"/>
      <c r="I1063" s="490"/>
      <c r="J1063" s="503"/>
      <c r="K1063" s="490"/>
      <c r="L1063" s="490"/>
      <c r="M1063" s="490"/>
      <c r="N1063" s="490"/>
      <c r="O1063" s="3"/>
    </row>
    <row r="1064" spans="1:16">
      <c r="C1064" s="3"/>
      <c r="D1064" s="47"/>
      <c r="E1064" s="3"/>
      <c r="F1064" s="3"/>
      <c r="G1064" s="3"/>
      <c r="H1064" s="490"/>
      <c r="I1064" s="490"/>
      <c r="J1064" s="503"/>
      <c r="K1064" s="490"/>
      <c r="L1064" s="490"/>
      <c r="M1064" s="490"/>
      <c r="N1064" s="490"/>
      <c r="O1064" s="3"/>
    </row>
    <row r="1065" spans="1:16">
      <c r="C1065" s="518" t="s">
        <v>14</v>
      </c>
      <c r="D1065" s="506"/>
      <c r="E1065" s="506"/>
      <c r="F1065" s="506"/>
      <c r="G1065" s="503"/>
      <c r="H1065" s="503"/>
      <c r="I1065" s="564"/>
      <c r="J1065" s="564"/>
      <c r="K1065" s="564"/>
      <c r="L1065" s="564"/>
      <c r="M1065" s="564"/>
      <c r="N1065" s="564"/>
      <c r="O1065" s="3"/>
    </row>
    <row r="1066" spans="1:16">
      <c r="C1066" s="507" t="s">
        <v>263</v>
      </c>
      <c r="D1066" s="506"/>
      <c r="E1066" s="506"/>
      <c r="F1066" s="506"/>
      <c r="G1066" s="503"/>
      <c r="H1066" s="503"/>
      <c r="I1066" s="564"/>
      <c r="J1066" s="564"/>
      <c r="K1066" s="564"/>
      <c r="L1066" s="564"/>
      <c r="M1066" s="564"/>
      <c r="N1066" s="564"/>
      <c r="O1066" s="3"/>
    </row>
    <row r="1067" spans="1:16">
      <c r="C1067" s="507" t="s">
        <v>84</v>
      </c>
      <c r="D1067" s="506"/>
      <c r="E1067" s="506"/>
      <c r="F1067" s="506"/>
      <c r="G1067" s="503"/>
      <c r="H1067" s="503"/>
      <c r="I1067" s="564"/>
      <c r="J1067" s="564"/>
      <c r="K1067" s="564"/>
      <c r="L1067" s="564"/>
      <c r="M1067" s="564"/>
      <c r="N1067" s="564"/>
      <c r="O1067" s="3"/>
    </row>
    <row r="1068" spans="1:16">
      <c r="C1068" s="507"/>
      <c r="D1068" s="506"/>
      <c r="E1068" s="506"/>
      <c r="F1068" s="506"/>
      <c r="G1068" s="503"/>
      <c r="H1068" s="503"/>
      <c r="I1068" s="564"/>
      <c r="J1068" s="564"/>
      <c r="K1068" s="564"/>
      <c r="L1068" s="564"/>
      <c r="M1068" s="564"/>
      <c r="N1068" s="564"/>
      <c r="O1068" s="3"/>
    </row>
    <row r="1069" spans="1:16">
      <c r="C1069" s="1200" t="s">
        <v>6</v>
      </c>
      <c r="D1069" s="1200"/>
      <c r="E1069" s="1200"/>
      <c r="F1069" s="1200"/>
      <c r="G1069" s="1200"/>
      <c r="H1069" s="1200"/>
      <c r="I1069" s="1200"/>
      <c r="J1069" s="1200"/>
      <c r="K1069" s="1200"/>
      <c r="L1069" s="1200"/>
      <c r="M1069" s="1200"/>
      <c r="N1069" s="1200"/>
      <c r="O1069" s="1200"/>
    </row>
    <row r="1070" spans="1:16">
      <c r="C1070" s="1200"/>
      <c r="D1070" s="1200"/>
      <c r="E1070" s="1200"/>
      <c r="F1070" s="1200"/>
      <c r="G1070" s="1200"/>
      <c r="H1070" s="1200"/>
      <c r="I1070" s="1200"/>
      <c r="J1070" s="1200"/>
      <c r="K1070" s="1200"/>
      <c r="L1070" s="1200"/>
      <c r="M1070" s="1200"/>
      <c r="N1070" s="1200"/>
      <c r="O1070" s="1200"/>
    </row>
    <row r="1071" spans="1:16">
      <c r="C1071" s="507"/>
      <c r="D1071" s="506"/>
      <c r="E1071" s="506"/>
      <c r="F1071" s="506"/>
      <c r="G1071" s="503"/>
      <c r="H1071" s="503"/>
    </row>
    <row r="1072" spans="1:16" ht="20.25">
      <c r="A1072" s="447" t="str">
        <f>""&amp;A996&amp;" Worksheet J -  ATRR PROJECTED Calculation for PJM Projects Charged to Benefiting Zones"</f>
        <v xml:space="preserve"> Worksheet J -  ATRR PROJECTED Calculation for PJM Projects Charged to Benefiting Zones</v>
      </c>
      <c r="B1072" s="3"/>
      <c r="C1072" s="3"/>
      <c r="D1072" s="47"/>
      <c r="E1072" s="3"/>
      <c r="F1072" s="489"/>
      <c r="G1072" s="3"/>
      <c r="H1072" s="490"/>
      <c r="K1072" s="398"/>
      <c r="L1072" s="398"/>
      <c r="M1072" s="398"/>
      <c r="N1072" s="398" t="str">
        <f>"Page "&amp;SUM(P$8:P1072)&amp;" of "</f>
        <v xml:space="preserve">Page 13 of </v>
      </c>
      <c r="O1072" s="448">
        <f>COUNT(P$8:P$56653)</f>
        <v>23</v>
      </c>
      <c r="P1072">
        <v>1</v>
      </c>
    </row>
    <row r="1073" spans="2:15">
      <c r="B1073" s="3"/>
      <c r="C1073" s="3"/>
      <c r="D1073" s="47"/>
      <c r="E1073" s="3"/>
      <c r="F1073" s="3"/>
      <c r="G1073" s="3"/>
      <c r="H1073" s="490"/>
      <c r="I1073" s="3"/>
      <c r="J1073" s="3"/>
      <c r="K1073" s="3"/>
      <c r="L1073" s="3"/>
      <c r="M1073" s="3"/>
      <c r="N1073" s="3"/>
      <c r="O1073" s="3"/>
    </row>
    <row r="1074" spans="2:15" ht="18">
      <c r="B1074" s="449" t="s">
        <v>464</v>
      </c>
      <c r="C1074" s="122" t="s">
        <v>85</v>
      </c>
      <c r="D1074" s="47"/>
      <c r="E1074" s="3"/>
      <c r="F1074" s="3"/>
      <c r="G1074" s="3"/>
      <c r="H1074" s="490"/>
      <c r="I1074" s="490"/>
      <c r="J1074" s="503"/>
      <c r="K1074" s="490"/>
      <c r="L1074" s="490"/>
      <c r="M1074" s="490"/>
      <c r="N1074" s="490"/>
      <c r="O1074" s="3"/>
    </row>
    <row r="1075" spans="2:15" ht="18.75">
      <c r="B1075" s="449"/>
      <c r="C1075" s="6"/>
      <c r="D1075" s="47"/>
      <c r="E1075" s="3"/>
      <c r="F1075" s="3"/>
      <c r="G1075" s="3"/>
      <c r="H1075" s="490"/>
      <c r="I1075" s="490"/>
      <c r="J1075" s="503"/>
      <c r="K1075" s="490"/>
      <c r="L1075" s="490"/>
      <c r="M1075" s="490"/>
      <c r="N1075" s="490"/>
      <c r="O1075" s="3"/>
    </row>
    <row r="1076" spans="2:15" ht="18.75">
      <c r="B1076" s="449"/>
      <c r="C1076" s="6" t="s">
        <v>86</v>
      </c>
      <c r="D1076" s="47"/>
      <c r="E1076" s="3"/>
      <c r="F1076" s="3"/>
      <c r="G1076" s="3"/>
      <c r="H1076" s="490"/>
      <c r="I1076" s="490"/>
      <c r="J1076" s="503"/>
      <c r="K1076" s="490"/>
      <c r="L1076" s="490"/>
      <c r="M1076" s="490"/>
      <c r="N1076" s="490"/>
      <c r="O1076" s="3"/>
    </row>
    <row r="1077" spans="2:15" ht="15.75" thickBot="1">
      <c r="C1077" s="131"/>
      <c r="D1077" s="47"/>
      <c r="E1077" s="3"/>
      <c r="F1077" s="3"/>
      <c r="G1077" s="3"/>
      <c r="H1077" s="490"/>
      <c r="I1077" s="490"/>
      <c r="J1077" s="503"/>
      <c r="K1077" s="490"/>
      <c r="L1077" s="490"/>
      <c r="M1077" s="490"/>
      <c r="N1077" s="490"/>
      <c r="O1077" s="3"/>
    </row>
    <row r="1078" spans="2:15" ht="15.75">
      <c r="C1078" s="451" t="s">
        <v>87</v>
      </c>
      <c r="D1078" s="47"/>
      <c r="E1078" s="3"/>
      <c r="F1078" s="3"/>
      <c r="G1078" s="566"/>
      <c r="H1078" s="3" t="s">
        <v>66</v>
      </c>
      <c r="I1078" s="3"/>
      <c r="J1078" s="3"/>
      <c r="K1078" s="509" t="s">
        <v>91</v>
      </c>
      <c r="L1078" s="510"/>
      <c r="M1078" s="511"/>
      <c r="N1078" s="512">
        <f>IF(I1084=0,0,VLOOKUP(I1084,C1091:O1150,5))</f>
        <v>2697541.3046218883</v>
      </c>
      <c r="O1078" s="3"/>
    </row>
    <row r="1079" spans="2:15" ht="15.75">
      <c r="C1079" s="451"/>
      <c r="D1079" s="47"/>
      <c r="E1079" s="3"/>
      <c r="F1079" s="3"/>
      <c r="G1079" s="3"/>
      <c r="H1079" s="513"/>
      <c r="I1079" s="513"/>
      <c r="J1079" s="514"/>
      <c r="K1079" s="515" t="s">
        <v>92</v>
      </c>
      <c r="L1079" s="516"/>
      <c r="M1079" s="3"/>
      <c r="N1079" s="517">
        <f>IF(I1084=0,0,VLOOKUP(I1084,C1091:O1150,6))</f>
        <v>2697541.3046218883</v>
      </c>
      <c r="O1079" s="3"/>
    </row>
    <row r="1080" spans="2:15" ht="13.5" thickBot="1">
      <c r="C1080" s="518" t="s">
        <v>88</v>
      </c>
      <c r="D1080" s="1194" t="s">
        <v>815</v>
      </c>
      <c r="E1080" s="1194"/>
      <c r="F1080" s="1194"/>
      <c r="G1080" s="1194"/>
      <c r="H1080" s="1194"/>
      <c r="I1080" s="1194"/>
      <c r="J1080" s="503"/>
      <c r="K1080" s="519" t="s">
        <v>230</v>
      </c>
      <c r="L1080" s="520"/>
      <c r="M1080" s="520"/>
      <c r="N1080" s="521">
        <f>+N1079-N1078</f>
        <v>0</v>
      </c>
      <c r="O1080" s="3"/>
    </row>
    <row r="1081" spans="2:15">
      <c r="C1081" s="522"/>
      <c r="D1081" s="523"/>
      <c r="E1081" s="506"/>
      <c r="F1081" s="506"/>
      <c r="G1081" s="524"/>
      <c r="H1081" s="490"/>
      <c r="I1081" s="490"/>
      <c r="J1081" s="503"/>
      <c r="K1081" s="490"/>
      <c r="L1081" s="490"/>
      <c r="M1081" s="490"/>
      <c r="N1081" s="490"/>
      <c r="O1081" s="3"/>
    </row>
    <row r="1082" spans="2:15" ht="13.5" thickBot="1">
      <c r="C1082" s="522"/>
      <c r="D1082" s="3"/>
      <c r="E1082" s="524"/>
      <c r="F1082" s="524"/>
      <c r="G1082" s="524"/>
      <c r="H1082" s="524"/>
      <c r="I1082" s="524"/>
      <c r="J1082" s="524"/>
      <c r="K1082" s="524"/>
      <c r="L1082" s="524"/>
      <c r="M1082" s="524"/>
      <c r="N1082" s="524"/>
      <c r="O1082" s="3"/>
    </row>
    <row r="1083" spans="2:15" ht="13.5" thickBot="1">
      <c r="C1083" s="525" t="s">
        <v>89</v>
      </c>
      <c r="D1083" s="526"/>
      <c r="E1083" s="526"/>
      <c r="F1083" s="526"/>
      <c r="G1083" s="526"/>
      <c r="H1083" s="526"/>
      <c r="I1083" s="527"/>
      <c r="K1083" s="3"/>
      <c r="L1083" s="3"/>
      <c r="M1083" s="3"/>
      <c r="N1083" s="3"/>
      <c r="O1083" s="3"/>
    </row>
    <row r="1084" spans="2:15" ht="15">
      <c r="C1084" s="528" t="s">
        <v>67</v>
      </c>
      <c r="D1084" s="568">
        <v>21058753.359999999</v>
      </c>
      <c r="E1084" s="3" t="s">
        <v>68</v>
      </c>
      <c r="G1084" s="47"/>
      <c r="H1084" s="47"/>
      <c r="I1084" s="529">
        <f>$L$26</f>
        <v>2026</v>
      </c>
      <c r="J1084" s="70"/>
      <c r="K1084" s="1193" t="s">
        <v>239</v>
      </c>
      <c r="L1084" s="1193"/>
      <c r="M1084" s="1193"/>
      <c r="N1084" s="1193"/>
      <c r="O1084" s="1193"/>
    </row>
    <row r="1085" spans="2:15">
      <c r="C1085" s="528" t="s">
        <v>70</v>
      </c>
      <c r="D1085" s="569">
        <v>2014</v>
      </c>
      <c r="E1085" s="528" t="s">
        <v>71</v>
      </c>
      <c r="F1085" s="47"/>
      <c r="H1085"/>
      <c r="I1085" s="570">
        <f>IF(G1078="",0,$F$17)</f>
        <v>0</v>
      </c>
      <c r="J1085" s="530"/>
      <c r="K1085" s="503" t="s">
        <v>239</v>
      </c>
    </row>
    <row r="1086" spans="2:15">
      <c r="C1086" s="528" t="s">
        <v>72</v>
      </c>
      <c r="D1086" s="568">
        <v>12</v>
      </c>
      <c r="E1086" s="528" t="s">
        <v>73</v>
      </c>
      <c r="F1086" s="47"/>
      <c r="H1086"/>
      <c r="I1086" s="531">
        <f>$G$70</f>
        <v>0.14912278949438812</v>
      </c>
      <c r="J1086" s="489"/>
      <c r="K1086" t="str">
        <f>"          INPUT PROJECTED ARR (WITH &amp; WITHOUT INCENTIVES) FROM EACH PRIOR YEAR"</f>
        <v xml:space="preserve">          INPUT PROJECTED ARR (WITH &amp; WITHOUT INCENTIVES) FROM EACH PRIOR YEAR</v>
      </c>
    </row>
    <row r="1087" spans="2:15">
      <c r="C1087" s="528" t="s">
        <v>74</v>
      </c>
      <c r="D1087" s="532">
        <f>$G$79</f>
        <v>34</v>
      </c>
      <c r="E1087" s="528" t="s">
        <v>75</v>
      </c>
      <c r="F1087" s="47"/>
      <c r="H1087"/>
      <c r="I1087" s="531">
        <f>IF(G1078="",I1086,$G$69)</f>
        <v>0.14912278949438812</v>
      </c>
      <c r="J1087" s="489"/>
      <c r="K1087" t="s">
        <v>152</v>
      </c>
    </row>
    <row r="1088" spans="2:15" ht="13.5" thickBot="1">
      <c r="C1088" s="528" t="s">
        <v>76</v>
      </c>
      <c r="D1088" s="567" t="s">
        <v>802</v>
      </c>
      <c r="E1088" s="533" t="s">
        <v>77</v>
      </c>
      <c r="F1088" s="534"/>
      <c r="G1088" s="535"/>
      <c r="H1088" s="535"/>
      <c r="I1088" s="521">
        <f>IF(D1084=0,0,D1084/D1087)</f>
        <v>619375.09882352944</v>
      </c>
      <c r="J1088" s="503"/>
      <c r="K1088" s="503" t="s">
        <v>158</v>
      </c>
      <c r="L1088" s="503"/>
      <c r="M1088" s="503"/>
      <c r="N1088" s="503"/>
      <c r="O1088" s="3"/>
    </row>
    <row r="1089" spans="2:15" ht="38.25">
      <c r="B1089" s="450"/>
      <c r="C1089" s="536" t="s">
        <v>67</v>
      </c>
      <c r="D1089" s="537" t="s">
        <v>78</v>
      </c>
      <c r="E1089" s="538" t="s">
        <v>79</v>
      </c>
      <c r="F1089" s="537" t="s">
        <v>80</v>
      </c>
      <c r="G1089" s="538" t="s">
        <v>151</v>
      </c>
      <c r="H1089" s="539" t="s">
        <v>151</v>
      </c>
      <c r="I1089" s="536" t="s">
        <v>90</v>
      </c>
      <c r="J1089" s="540"/>
      <c r="K1089" s="538" t="s">
        <v>160</v>
      </c>
      <c r="L1089" s="541"/>
      <c r="M1089" s="538" t="s">
        <v>160</v>
      </c>
      <c r="N1089" s="541"/>
      <c r="O1089" s="541"/>
    </row>
    <row r="1090" spans="2:15" ht="13.5" thickBot="1">
      <c r="C1090" s="542" t="s">
        <v>467</v>
      </c>
      <c r="D1090" s="543" t="s">
        <v>468</v>
      </c>
      <c r="E1090" s="542" t="s">
        <v>361</v>
      </c>
      <c r="F1090" s="543" t="s">
        <v>468</v>
      </c>
      <c r="G1090" s="544" t="s">
        <v>93</v>
      </c>
      <c r="H1090" s="545" t="s">
        <v>95</v>
      </c>
      <c r="I1090" s="542" t="s">
        <v>15</v>
      </c>
      <c r="J1090" s="546"/>
      <c r="K1090" s="544" t="s">
        <v>82</v>
      </c>
      <c r="L1090" s="547"/>
      <c r="M1090" s="544" t="s">
        <v>95</v>
      </c>
      <c r="N1090" s="547"/>
      <c r="O1090" s="547"/>
    </row>
    <row r="1091" spans="2:15">
      <c r="C1091" s="548">
        <f>IF(D1085= "","-",D1085)</f>
        <v>2014</v>
      </c>
      <c r="D1091" s="506">
        <f>+D1084</f>
        <v>21058753.359999999</v>
      </c>
      <c r="E1091" s="549">
        <f>+I1088/12*(12-D1086)</f>
        <v>0</v>
      </c>
      <c r="F1091" s="506">
        <f>+D1091-E1091</f>
        <v>21058753.359999999</v>
      </c>
      <c r="G1091" s="723">
        <f>+$I$96*((D1091+F1091)/2)+E1091</f>
        <v>3140340.0443175184</v>
      </c>
      <c r="H1091" s="724">
        <f>$I$97*((D1091+F1091)/2)+E1091</f>
        <v>3140340.0443175184</v>
      </c>
      <c r="I1091" s="552">
        <f>+H1091-G1091</f>
        <v>0</v>
      </c>
      <c r="J1091" s="552"/>
      <c r="K1091" s="571">
        <v>2052447</v>
      </c>
      <c r="L1091" s="553"/>
      <c r="M1091" s="571">
        <v>2052447</v>
      </c>
      <c r="N1091" s="553"/>
      <c r="O1091" s="553"/>
    </row>
    <row r="1092" spans="2:15">
      <c r="C1092" s="548">
        <f>IF(D1085="","-",+C1091+1)</f>
        <v>2015</v>
      </c>
      <c r="D1092" s="506">
        <f t="shared" ref="D1092:D1150" si="66">F1091</f>
        <v>21058753.359999999</v>
      </c>
      <c r="E1092" s="549">
        <f>IF(D1092&gt;$I$1088,$I$1088,D1092)</f>
        <v>619375.09882352944</v>
      </c>
      <c r="F1092" s="506">
        <f t="shared" ref="F1092:F1150" si="67">+D1092-E1092</f>
        <v>20439378.261176471</v>
      </c>
      <c r="G1092" s="554">
        <f t="shared" ref="G1092:G1150" si="68">+$I$96*((D1092+F1092)/2)+E1092</f>
        <v>3713533.6719010845</v>
      </c>
      <c r="H1092" s="555">
        <f t="shared" ref="H1092:H1150" si="69">$I$97*((D1092+F1092)/2)+E1092</f>
        <v>3713533.6719010845</v>
      </c>
      <c r="I1092" s="552">
        <f t="shared" ref="I1092:I1150" si="70">+H1092-G1092</f>
        <v>0</v>
      </c>
      <c r="J1092" s="552"/>
      <c r="K1092" s="572">
        <v>2695147</v>
      </c>
      <c r="L1092" s="556"/>
      <c r="M1092" s="572">
        <v>2695147</v>
      </c>
      <c r="N1092" s="556"/>
      <c r="O1092" s="556"/>
    </row>
    <row r="1093" spans="2:15">
      <c r="C1093" s="548">
        <f>IF(D1085="","-",+C1092+1)</f>
        <v>2016</v>
      </c>
      <c r="D1093" s="506">
        <f t="shared" si="66"/>
        <v>20439378.261176471</v>
      </c>
      <c r="E1093" s="549">
        <f t="shared" ref="E1093:E1150" si="71">IF(D1093&gt;$I$1088,$I$1088,D1093)</f>
        <v>619375.09882352944</v>
      </c>
      <c r="F1093" s="506">
        <f t="shared" si="67"/>
        <v>19820003.162352942</v>
      </c>
      <c r="G1093" s="554">
        <f t="shared" si="68"/>
        <v>3621170.7294211574</v>
      </c>
      <c r="H1093" s="555">
        <f t="shared" si="69"/>
        <v>3621170.7294211574</v>
      </c>
      <c r="I1093" s="552">
        <f t="shared" si="70"/>
        <v>0</v>
      </c>
      <c r="J1093" s="552"/>
      <c r="K1093" s="572">
        <v>3014861</v>
      </c>
      <c r="L1093" s="556"/>
      <c r="M1093" s="572">
        <v>3014861</v>
      </c>
      <c r="N1093" s="556"/>
      <c r="O1093" s="556"/>
    </row>
    <row r="1094" spans="2:15">
      <c r="C1094" s="548">
        <f>IF(D1085="","-",+C1093+1)</f>
        <v>2017</v>
      </c>
      <c r="D1094" s="506">
        <f t="shared" si="66"/>
        <v>19820003.162352942</v>
      </c>
      <c r="E1094" s="549">
        <f t="shared" si="71"/>
        <v>619375.09882352944</v>
      </c>
      <c r="F1094" s="506">
        <f t="shared" si="67"/>
        <v>19200628.063529413</v>
      </c>
      <c r="G1094" s="554">
        <f t="shared" si="68"/>
        <v>3528807.7869412303</v>
      </c>
      <c r="H1094" s="555">
        <f t="shared" si="69"/>
        <v>3528807.7869412303</v>
      </c>
      <c r="I1094" s="552">
        <f t="shared" si="70"/>
        <v>0</v>
      </c>
      <c r="J1094" s="552"/>
      <c r="K1094" s="572">
        <v>3618083</v>
      </c>
      <c r="L1094" s="556"/>
      <c r="M1094" s="572">
        <v>3618083</v>
      </c>
      <c r="N1094" s="556"/>
      <c r="O1094" s="556"/>
    </row>
    <row r="1095" spans="2:15">
      <c r="C1095" s="974">
        <f>IF(D1085="","-",+C1094+1)</f>
        <v>2018</v>
      </c>
      <c r="D1095" s="506">
        <f t="shared" si="66"/>
        <v>19200628.063529413</v>
      </c>
      <c r="E1095" s="549">
        <f t="shared" si="71"/>
        <v>619375.09882352944</v>
      </c>
      <c r="F1095" s="506">
        <f t="shared" si="67"/>
        <v>18581252.964705884</v>
      </c>
      <c r="G1095" s="554">
        <f t="shared" si="68"/>
        <v>3436444.8444613041</v>
      </c>
      <c r="H1095" s="555">
        <f t="shared" si="69"/>
        <v>3436444.8444613041</v>
      </c>
      <c r="I1095" s="552">
        <f t="shared" si="70"/>
        <v>0</v>
      </c>
      <c r="J1095" s="552"/>
      <c r="K1095" s="572">
        <v>3216698</v>
      </c>
      <c r="L1095" s="556"/>
      <c r="M1095" s="572">
        <v>3216698</v>
      </c>
      <c r="N1095" s="556"/>
      <c r="O1095" s="556"/>
    </row>
    <row r="1096" spans="2:15">
      <c r="C1096" s="974">
        <f>IF(D1085="","-",+C1095+1)</f>
        <v>2019</v>
      </c>
      <c r="D1096" s="506">
        <f t="shared" si="66"/>
        <v>18581252.964705884</v>
      </c>
      <c r="E1096" s="549">
        <f t="shared" si="71"/>
        <v>619375.09882352944</v>
      </c>
      <c r="F1096" s="506">
        <f t="shared" si="67"/>
        <v>17961877.865882356</v>
      </c>
      <c r="G1096" s="554">
        <f t="shared" si="68"/>
        <v>3344081.9019813761</v>
      </c>
      <c r="H1096" s="555">
        <f t="shared" si="69"/>
        <v>3344081.9019813761</v>
      </c>
      <c r="I1096" s="552">
        <f t="shared" si="70"/>
        <v>0</v>
      </c>
      <c r="J1096" s="552"/>
      <c r="K1096" s="572">
        <v>3297994.9861773662</v>
      </c>
      <c r="L1096" s="556"/>
      <c r="M1096" s="572">
        <v>3297994.9861773662</v>
      </c>
      <c r="N1096" s="556"/>
      <c r="O1096" s="556"/>
    </row>
    <row r="1097" spans="2:15">
      <c r="C1097" s="974">
        <f>IF(D1085="","-",+C1096+1)</f>
        <v>2020</v>
      </c>
      <c r="D1097" s="506">
        <f t="shared" si="66"/>
        <v>17961877.865882356</v>
      </c>
      <c r="E1097" s="549">
        <f t="shared" si="71"/>
        <v>619375.09882352944</v>
      </c>
      <c r="F1097" s="506">
        <f t="shared" si="67"/>
        <v>17342502.767058827</v>
      </c>
      <c r="G1097" s="554">
        <f t="shared" si="68"/>
        <v>3251718.95950145</v>
      </c>
      <c r="H1097" s="555">
        <f t="shared" si="69"/>
        <v>3251718.95950145</v>
      </c>
      <c r="I1097" s="552">
        <f t="shared" si="70"/>
        <v>0</v>
      </c>
      <c r="J1097" s="552"/>
      <c r="K1097" s="572">
        <v>3455602.536071002</v>
      </c>
      <c r="L1097" s="556"/>
      <c r="M1097" s="572">
        <v>3455602.536071002</v>
      </c>
      <c r="N1097" s="556"/>
      <c r="O1097" s="556"/>
    </row>
    <row r="1098" spans="2:15">
      <c r="C1098" s="974">
        <f>IF(D1085="","-",+C1097+1)</f>
        <v>2021</v>
      </c>
      <c r="D1098" s="506">
        <f t="shared" si="66"/>
        <v>17342502.767058827</v>
      </c>
      <c r="E1098" s="549">
        <f t="shared" si="71"/>
        <v>619375.09882352944</v>
      </c>
      <c r="F1098" s="506">
        <f t="shared" si="67"/>
        <v>16723127.668235298</v>
      </c>
      <c r="G1098" s="554">
        <f t="shared" si="68"/>
        <v>3159356.0170215229</v>
      </c>
      <c r="H1098" s="555">
        <f t="shared" si="69"/>
        <v>3159356.0170215229</v>
      </c>
      <c r="I1098" s="552">
        <f t="shared" si="70"/>
        <v>0</v>
      </c>
      <c r="J1098" s="552"/>
      <c r="K1098" s="572">
        <v>3118794.4648870993</v>
      </c>
      <c r="L1098" s="556"/>
      <c r="M1098" s="572">
        <v>3118794.4648870993</v>
      </c>
      <c r="N1098" s="556"/>
      <c r="O1098" s="556"/>
    </row>
    <row r="1099" spans="2:15">
      <c r="C1099" s="974">
        <f>IF(D1085="","-",+C1098+1)</f>
        <v>2022</v>
      </c>
      <c r="D1099" s="506">
        <f t="shared" si="66"/>
        <v>16723127.668235298</v>
      </c>
      <c r="E1099" s="549">
        <f t="shared" si="71"/>
        <v>619375.09882352944</v>
      </c>
      <c r="F1099" s="506">
        <f t="shared" si="67"/>
        <v>16103752.56941177</v>
      </c>
      <c r="G1099" s="554">
        <f t="shared" si="68"/>
        <v>3066993.0745415958</v>
      </c>
      <c r="H1099" s="555">
        <f t="shared" si="69"/>
        <v>3066993.0745415958</v>
      </c>
      <c r="I1099" s="552">
        <f t="shared" si="70"/>
        <v>0</v>
      </c>
      <c r="J1099" s="552"/>
      <c r="K1099" s="572">
        <v>3113837.1721860152</v>
      </c>
      <c r="L1099" s="556"/>
      <c r="M1099" s="572">
        <v>3113837.1721860152</v>
      </c>
      <c r="N1099" s="556"/>
      <c r="O1099" s="556"/>
    </row>
    <row r="1100" spans="2:15">
      <c r="C1100" s="974">
        <f>IF(D1085="","-",+C1099+1)</f>
        <v>2023</v>
      </c>
      <c r="D1100" s="506">
        <f t="shared" si="66"/>
        <v>16103752.56941177</v>
      </c>
      <c r="E1100" s="549">
        <f t="shared" si="71"/>
        <v>619375.09882352944</v>
      </c>
      <c r="F1100" s="506">
        <f t="shared" si="67"/>
        <v>15484377.470588241</v>
      </c>
      <c r="G1100" s="554">
        <f t="shared" si="68"/>
        <v>2974630.1320616687</v>
      </c>
      <c r="H1100" s="555">
        <f t="shared" si="69"/>
        <v>2974630.1320616687</v>
      </c>
      <c r="I1100" s="552">
        <f t="shared" si="70"/>
        <v>0</v>
      </c>
      <c r="J1100" s="552"/>
      <c r="K1100" s="572">
        <v>3034357.3074561041</v>
      </c>
      <c r="L1100" s="556"/>
      <c r="M1100" s="572">
        <v>3034357.3074561041</v>
      </c>
      <c r="N1100" s="556"/>
      <c r="O1100" s="556"/>
    </row>
    <row r="1101" spans="2:15">
      <c r="C1101" s="548">
        <f>IF(D1085="","-",+C1100+1)</f>
        <v>2024</v>
      </c>
      <c r="D1101" s="506">
        <f t="shared" si="66"/>
        <v>15484377.470588241</v>
      </c>
      <c r="E1101" s="549">
        <f t="shared" si="71"/>
        <v>619375.09882352944</v>
      </c>
      <c r="F1101" s="506">
        <f t="shared" si="67"/>
        <v>14865002.371764712</v>
      </c>
      <c r="G1101" s="554">
        <f t="shared" si="68"/>
        <v>2882267.1895817425</v>
      </c>
      <c r="H1101" s="555">
        <f t="shared" si="69"/>
        <v>2882267.1895817425</v>
      </c>
      <c r="I1101" s="552">
        <f t="shared" si="70"/>
        <v>0</v>
      </c>
      <c r="J1101" s="552"/>
      <c r="K1101" s="572">
        <v>2897782.0276393597</v>
      </c>
      <c r="L1101" s="556"/>
      <c r="M1101" s="572">
        <v>2897782.0276393597</v>
      </c>
      <c r="N1101" s="556"/>
      <c r="O1101" s="556"/>
    </row>
    <row r="1102" spans="2:15">
      <c r="C1102" s="548">
        <f>IF(D1085="","-",+C1101+1)</f>
        <v>2025</v>
      </c>
      <c r="D1102" s="506">
        <f t="shared" si="66"/>
        <v>14865002.371764712</v>
      </c>
      <c r="E1102" s="549">
        <f t="shared" si="71"/>
        <v>619375.09882352944</v>
      </c>
      <c r="F1102" s="506">
        <f t="shared" si="67"/>
        <v>14245627.272941183</v>
      </c>
      <c r="G1102" s="554">
        <f t="shared" si="68"/>
        <v>2789904.2471018154</v>
      </c>
      <c r="H1102" s="555">
        <f t="shared" si="69"/>
        <v>2789904.2471018154</v>
      </c>
      <c r="I1102" s="552">
        <f t="shared" si="70"/>
        <v>0</v>
      </c>
      <c r="J1102" s="552"/>
      <c r="K1102" s="572">
        <v>2799412.53964426</v>
      </c>
      <c r="L1102" s="556"/>
      <c r="M1102" s="572">
        <v>2799412.53964426</v>
      </c>
      <c r="N1102" s="556"/>
      <c r="O1102" s="556"/>
    </row>
    <row r="1103" spans="2:15">
      <c r="C1103" s="955">
        <f>IF(D1085="","-",+C1102+1)</f>
        <v>2026</v>
      </c>
      <c r="D1103" s="506">
        <f t="shared" si="66"/>
        <v>14245627.272941183</v>
      </c>
      <c r="E1103" s="549">
        <f t="shared" si="71"/>
        <v>619375.09882352944</v>
      </c>
      <c r="F1103" s="506">
        <f t="shared" si="67"/>
        <v>13626252.174117655</v>
      </c>
      <c r="G1103" s="554">
        <f t="shared" si="68"/>
        <v>2697541.3046218883</v>
      </c>
      <c r="H1103" s="555">
        <f t="shared" si="69"/>
        <v>2697541.3046218883</v>
      </c>
      <c r="I1103" s="552">
        <f t="shared" si="70"/>
        <v>0</v>
      </c>
      <c r="J1103" s="552"/>
      <c r="K1103" s="572"/>
      <c r="L1103" s="556"/>
      <c r="M1103" s="572"/>
      <c r="N1103" s="557"/>
      <c r="O1103" s="556"/>
    </row>
    <row r="1104" spans="2:15">
      <c r="C1104" s="548">
        <f>IF(D1085="","-",+C1103+1)</f>
        <v>2027</v>
      </c>
      <c r="D1104" s="506">
        <f t="shared" si="66"/>
        <v>13626252.174117655</v>
      </c>
      <c r="E1104" s="549">
        <f t="shared" si="71"/>
        <v>619375.09882352944</v>
      </c>
      <c r="F1104" s="506">
        <f t="shared" si="67"/>
        <v>13006877.075294126</v>
      </c>
      <c r="G1104" s="554">
        <f t="shared" si="68"/>
        <v>2605178.3621419612</v>
      </c>
      <c r="H1104" s="555">
        <f t="shared" si="69"/>
        <v>2605178.3621419612</v>
      </c>
      <c r="I1104" s="552">
        <f t="shared" si="70"/>
        <v>0</v>
      </c>
      <c r="J1104" s="552"/>
      <c r="K1104" s="572"/>
      <c r="L1104" s="556"/>
      <c r="M1104" s="572"/>
      <c r="N1104" s="556"/>
      <c r="O1104" s="556"/>
    </row>
    <row r="1105" spans="3:15">
      <c r="C1105" s="548">
        <f>IF(D1085="","-",+C1104+1)</f>
        <v>2028</v>
      </c>
      <c r="D1105" s="506">
        <f t="shared" si="66"/>
        <v>13006877.075294126</v>
      </c>
      <c r="E1105" s="549">
        <f t="shared" si="71"/>
        <v>619375.09882352944</v>
      </c>
      <c r="F1105" s="506">
        <f t="shared" si="67"/>
        <v>12387501.976470597</v>
      </c>
      <c r="G1105" s="554">
        <f t="shared" si="68"/>
        <v>2512815.4196620346</v>
      </c>
      <c r="H1105" s="555">
        <f t="shared" si="69"/>
        <v>2512815.4196620346</v>
      </c>
      <c r="I1105" s="552">
        <f t="shared" si="70"/>
        <v>0</v>
      </c>
      <c r="J1105" s="552"/>
      <c r="K1105" s="572"/>
      <c r="L1105" s="556"/>
      <c r="M1105" s="572"/>
      <c r="N1105" s="556"/>
      <c r="O1105" s="556"/>
    </row>
    <row r="1106" spans="3:15">
      <c r="C1106" s="548">
        <f>IF(D1085="","-",+C1105+1)</f>
        <v>2029</v>
      </c>
      <c r="D1106" s="506">
        <f t="shared" si="66"/>
        <v>12387501.976470597</v>
      </c>
      <c r="E1106" s="549">
        <f t="shared" si="71"/>
        <v>619375.09882352944</v>
      </c>
      <c r="F1106" s="506">
        <f t="shared" si="67"/>
        <v>11768126.877647068</v>
      </c>
      <c r="G1106" s="554">
        <f t="shared" si="68"/>
        <v>2420452.4771821075</v>
      </c>
      <c r="H1106" s="555">
        <f t="shared" si="69"/>
        <v>2420452.4771821075</v>
      </c>
      <c r="I1106" s="552">
        <f t="shared" si="70"/>
        <v>0</v>
      </c>
      <c r="J1106" s="552"/>
      <c r="K1106" s="572"/>
      <c r="L1106" s="556"/>
      <c r="M1106" s="572"/>
      <c r="N1106" s="556"/>
      <c r="O1106" s="556"/>
    </row>
    <row r="1107" spans="3:15">
      <c r="C1107" s="548">
        <f>IF(D1085="","-",+C1106+1)</f>
        <v>2030</v>
      </c>
      <c r="D1107" s="506">
        <f t="shared" si="66"/>
        <v>11768126.877647068</v>
      </c>
      <c r="E1107" s="549">
        <f t="shared" si="71"/>
        <v>619375.09882352944</v>
      </c>
      <c r="F1107" s="506">
        <f t="shared" si="67"/>
        <v>11148751.77882354</v>
      </c>
      <c r="G1107" s="554">
        <f t="shared" si="68"/>
        <v>2328089.5347021809</v>
      </c>
      <c r="H1107" s="555">
        <f t="shared" si="69"/>
        <v>2328089.5347021809</v>
      </c>
      <c r="I1107" s="552">
        <f t="shared" si="70"/>
        <v>0</v>
      </c>
      <c r="J1107" s="552"/>
      <c r="K1107" s="572"/>
      <c r="L1107" s="556"/>
      <c r="M1107" s="572"/>
      <c r="N1107" s="556"/>
      <c r="O1107" s="556"/>
    </row>
    <row r="1108" spans="3:15">
      <c r="C1108" s="548">
        <f>IF(D1085="","-",+C1107+1)</f>
        <v>2031</v>
      </c>
      <c r="D1108" s="506">
        <f t="shared" si="66"/>
        <v>11148751.77882354</v>
      </c>
      <c r="E1108" s="549">
        <f t="shared" si="71"/>
        <v>619375.09882352944</v>
      </c>
      <c r="F1108" s="506">
        <f t="shared" si="67"/>
        <v>10529376.680000011</v>
      </c>
      <c r="G1108" s="554">
        <f t="shared" si="68"/>
        <v>2235726.5922222538</v>
      </c>
      <c r="H1108" s="555">
        <f t="shared" si="69"/>
        <v>2235726.5922222538</v>
      </c>
      <c r="I1108" s="552">
        <f t="shared" si="70"/>
        <v>0</v>
      </c>
      <c r="J1108" s="552"/>
      <c r="K1108" s="572"/>
      <c r="L1108" s="556"/>
      <c r="M1108" s="572"/>
      <c r="N1108" s="556"/>
      <c r="O1108" s="556"/>
    </row>
    <row r="1109" spans="3:15">
      <c r="C1109" s="548">
        <f>IF(D1085="","-",+C1108+1)</f>
        <v>2032</v>
      </c>
      <c r="D1109" s="506">
        <f t="shared" si="66"/>
        <v>10529376.680000011</v>
      </c>
      <c r="E1109" s="549">
        <f t="shared" si="71"/>
        <v>619375.09882352944</v>
      </c>
      <c r="F1109" s="506">
        <f t="shared" si="67"/>
        <v>9910001.5811764821</v>
      </c>
      <c r="G1109" s="554">
        <f t="shared" si="68"/>
        <v>2143363.6497423267</v>
      </c>
      <c r="H1109" s="555">
        <f t="shared" si="69"/>
        <v>2143363.6497423267</v>
      </c>
      <c r="I1109" s="552">
        <f t="shared" si="70"/>
        <v>0</v>
      </c>
      <c r="J1109" s="552"/>
      <c r="K1109" s="572"/>
      <c r="L1109" s="556"/>
      <c r="M1109" s="572"/>
      <c r="N1109" s="556"/>
      <c r="O1109" s="556"/>
    </row>
    <row r="1110" spans="3:15">
      <c r="C1110" s="548">
        <f>IF(D1085="","-",+C1109+1)</f>
        <v>2033</v>
      </c>
      <c r="D1110" s="506">
        <f t="shared" si="66"/>
        <v>9910001.5811764821</v>
      </c>
      <c r="E1110" s="549">
        <f t="shared" si="71"/>
        <v>619375.09882352944</v>
      </c>
      <c r="F1110" s="506">
        <f t="shared" si="67"/>
        <v>9290626.4823529534</v>
      </c>
      <c r="G1110" s="554">
        <f t="shared" si="68"/>
        <v>2051000.7072623998</v>
      </c>
      <c r="H1110" s="555">
        <f t="shared" si="69"/>
        <v>2051000.7072623998</v>
      </c>
      <c r="I1110" s="552">
        <f t="shared" si="70"/>
        <v>0</v>
      </c>
      <c r="J1110" s="552"/>
      <c r="K1110" s="572"/>
      <c r="L1110" s="556"/>
      <c r="M1110" s="572"/>
      <c r="N1110" s="556"/>
      <c r="O1110" s="556"/>
    </row>
    <row r="1111" spans="3:15">
      <c r="C1111" s="548">
        <f>IF(D1085="","-",+C1110+1)</f>
        <v>2034</v>
      </c>
      <c r="D1111" s="506">
        <f t="shared" si="66"/>
        <v>9290626.4823529534</v>
      </c>
      <c r="E1111" s="549">
        <f t="shared" si="71"/>
        <v>619375.09882352944</v>
      </c>
      <c r="F1111" s="506">
        <f t="shared" si="67"/>
        <v>8671251.3835294247</v>
      </c>
      <c r="G1111" s="554">
        <f t="shared" si="68"/>
        <v>1958637.764782473</v>
      </c>
      <c r="H1111" s="555">
        <f t="shared" si="69"/>
        <v>1958637.764782473</v>
      </c>
      <c r="I1111" s="552">
        <f t="shared" si="70"/>
        <v>0</v>
      </c>
      <c r="J1111" s="552"/>
      <c r="K1111" s="572"/>
      <c r="L1111" s="556"/>
      <c r="M1111" s="572"/>
      <c r="N1111" s="556"/>
      <c r="O1111" s="556"/>
    </row>
    <row r="1112" spans="3:15">
      <c r="C1112" s="548">
        <f>IF(D1085="","-",+C1111+1)</f>
        <v>2035</v>
      </c>
      <c r="D1112" s="506">
        <f t="shared" si="66"/>
        <v>8671251.3835294247</v>
      </c>
      <c r="E1112" s="549">
        <f t="shared" si="71"/>
        <v>619375.09882352944</v>
      </c>
      <c r="F1112" s="506">
        <f t="shared" si="67"/>
        <v>8051876.284705895</v>
      </c>
      <c r="G1112" s="554">
        <f t="shared" si="68"/>
        <v>1866274.8223025461</v>
      </c>
      <c r="H1112" s="555">
        <f t="shared" si="69"/>
        <v>1866274.8223025461</v>
      </c>
      <c r="I1112" s="552">
        <f t="shared" si="70"/>
        <v>0</v>
      </c>
      <c r="J1112" s="552"/>
      <c r="K1112" s="572"/>
      <c r="L1112" s="556"/>
      <c r="M1112" s="572"/>
      <c r="N1112" s="556"/>
      <c r="O1112" s="556"/>
    </row>
    <row r="1113" spans="3:15">
      <c r="C1113" s="548">
        <f>IF(D1085="","-",+C1112+1)</f>
        <v>2036</v>
      </c>
      <c r="D1113" s="506">
        <f t="shared" si="66"/>
        <v>8051876.284705895</v>
      </c>
      <c r="E1113" s="549">
        <f t="shared" si="71"/>
        <v>619375.09882352944</v>
      </c>
      <c r="F1113" s="506">
        <f t="shared" si="67"/>
        <v>7432501.1858823653</v>
      </c>
      <c r="G1113" s="554">
        <f t="shared" si="68"/>
        <v>1773911.879822619</v>
      </c>
      <c r="H1113" s="555">
        <f t="shared" si="69"/>
        <v>1773911.879822619</v>
      </c>
      <c r="I1113" s="552">
        <f t="shared" si="70"/>
        <v>0</v>
      </c>
      <c r="J1113" s="552"/>
      <c r="K1113" s="572"/>
      <c r="L1113" s="556"/>
      <c r="M1113" s="572"/>
      <c r="N1113" s="556"/>
      <c r="O1113" s="556"/>
    </row>
    <row r="1114" spans="3:15">
      <c r="C1114" s="548">
        <f>IF(D1085="","-",+C1113+1)</f>
        <v>2037</v>
      </c>
      <c r="D1114" s="506">
        <f t="shared" si="66"/>
        <v>7432501.1858823653</v>
      </c>
      <c r="E1114" s="549">
        <f t="shared" si="71"/>
        <v>619375.09882352944</v>
      </c>
      <c r="F1114" s="506">
        <f t="shared" si="67"/>
        <v>6813126.0870588357</v>
      </c>
      <c r="G1114" s="554">
        <f t="shared" si="68"/>
        <v>1681548.9373426919</v>
      </c>
      <c r="H1114" s="555">
        <f t="shared" si="69"/>
        <v>1681548.9373426919</v>
      </c>
      <c r="I1114" s="552">
        <f t="shared" si="70"/>
        <v>0</v>
      </c>
      <c r="J1114" s="552"/>
      <c r="K1114" s="572"/>
      <c r="L1114" s="556"/>
      <c r="M1114" s="572"/>
      <c r="N1114" s="556"/>
      <c r="O1114" s="556"/>
    </row>
    <row r="1115" spans="3:15">
      <c r="C1115" s="548">
        <f>IF(D1085="","-",+C1114+1)</f>
        <v>2038</v>
      </c>
      <c r="D1115" s="506">
        <f t="shared" si="66"/>
        <v>6813126.0870588357</v>
      </c>
      <c r="E1115" s="549">
        <f t="shared" si="71"/>
        <v>619375.09882352944</v>
      </c>
      <c r="F1115" s="506">
        <f t="shared" si="67"/>
        <v>6193750.988235306</v>
      </c>
      <c r="G1115" s="554">
        <f t="shared" si="68"/>
        <v>1589185.9948627648</v>
      </c>
      <c r="H1115" s="555">
        <f t="shared" si="69"/>
        <v>1589185.9948627648</v>
      </c>
      <c r="I1115" s="552">
        <f t="shared" si="70"/>
        <v>0</v>
      </c>
      <c r="J1115" s="552"/>
      <c r="K1115" s="572"/>
      <c r="L1115" s="556"/>
      <c r="M1115" s="572"/>
      <c r="N1115" s="556"/>
      <c r="O1115" s="556"/>
    </row>
    <row r="1116" spans="3:15">
      <c r="C1116" s="548">
        <f>IF(D1085="","-",+C1115+1)</f>
        <v>2039</v>
      </c>
      <c r="D1116" s="506">
        <f t="shared" si="66"/>
        <v>6193750.988235306</v>
      </c>
      <c r="E1116" s="549">
        <f t="shared" si="71"/>
        <v>619375.09882352944</v>
      </c>
      <c r="F1116" s="506">
        <f t="shared" si="67"/>
        <v>5574375.8894117763</v>
      </c>
      <c r="G1116" s="554">
        <f t="shared" si="68"/>
        <v>1496823.052382838</v>
      </c>
      <c r="H1116" s="555">
        <f t="shared" si="69"/>
        <v>1496823.052382838</v>
      </c>
      <c r="I1116" s="552">
        <f t="shared" si="70"/>
        <v>0</v>
      </c>
      <c r="J1116" s="552"/>
      <c r="K1116" s="572"/>
      <c r="L1116" s="556"/>
      <c r="M1116" s="572"/>
      <c r="N1116" s="556"/>
      <c r="O1116" s="556"/>
    </row>
    <row r="1117" spans="3:15">
      <c r="C1117" s="548">
        <f>IF(D1085="","-",+C1116+1)</f>
        <v>2040</v>
      </c>
      <c r="D1117" s="506">
        <f t="shared" si="66"/>
        <v>5574375.8894117763</v>
      </c>
      <c r="E1117" s="549">
        <f t="shared" si="71"/>
        <v>619375.09882352944</v>
      </c>
      <c r="F1117" s="506">
        <f t="shared" si="67"/>
        <v>4955000.7905882467</v>
      </c>
      <c r="G1117" s="554">
        <f t="shared" si="68"/>
        <v>1404460.1099029107</v>
      </c>
      <c r="H1117" s="555">
        <f t="shared" si="69"/>
        <v>1404460.1099029107</v>
      </c>
      <c r="I1117" s="552">
        <f t="shared" si="70"/>
        <v>0</v>
      </c>
      <c r="J1117" s="552"/>
      <c r="K1117" s="572"/>
      <c r="L1117" s="556"/>
      <c r="M1117" s="572"/>
      <c r="N1117" s="556"/>
      <c r="O1117" s="556"/>
    </row>
    <row r="1118" spans="3:15">
      <c r="C1118" s="548">
        <f>IF(D1085="","-",+C1117+1)</f>
        <v>2041</v>
      </c>
      <c r="D1118" s="506">
        <f t="shared" si="66"/>
        <v>4955000.7905882467</v>
      </c>
      <c r="E1118" s="549">
        <f t="shared" si="71"/>
        <v>619375.09882352944</v>
      </c>
      <c r="F1118" s="506">
        <f t="shared" si="67"/>
        <v>4335625.691764717</v>
      </c>
      <c r="G1118" s="554">
        <f t="shared" si="68"/>
        <v>1312097.1674229838</v>
      </c>
      <c r="H1118" s="555">
        <f t="shared" si="69"/>
        <v>1312097.1674229838</v>
      </c>
      <c r="I1118" s="552">
        <f t="shared" si="70"/>
        <v>0</v>
      </c>
      <c r="J1118" s="552"/>
      <c r="K1118" s="572"/>
      <c r="L1118" s="556"/>
      <c r="M1118" s="572"/>
      <c r="N1118" s="556"/>
      <c r="O1118" s="556"/>
    </row>
    <row r="1119" spans="3:15">
      <c r="C1119" s="548">
        <f>IF(D1085="","-",+C1118+1)</f>
        <v>2042</v>
      </c>
      <c r="D1119" s="506">
        <f t="shared" si="66"/>
        <v>4335625.691764717</v>
      </c>
      <c r="E1119" s="549">
        <f t="shared" si="71"/>
        <v>619375.09882352944</v>
      </c>
      <c r="F1119" s="506">
        <f t="shared" si="67"/>
        <v>3716250.5929411873</v>
      </c>
      <c r="G1119" s="550">
        <f t="shared" si="68"/>
        <v>1219734.2249430567</v>
      </c>
      <c r="H1119" s="555">
        <f t="shared" si="69"/>
        <v>1219734.2249430567</v>
      </c>
      <c r="I1119" s="552">
        <f t="shared" si="70"/>
        <v>0</v>
      </c>
      <c r="J1119" s="552"/>
      <c r="K1119" s="572"/>
      <c r="L1119" s="556"/>
      <c r="M1119" s="572"/>
      <c r="N1119" s="556"/>
      <c r="O1119" s="556"/>
    </row>
    <row r="1120" spans="3:15">
      <c r="C1120" s="548">
        <f>IF(D1085="","-",+C1119+1)</f>
        <v>2043</v>
      </c>
      <c r="D1120" s="506">
        <f t="shared" si="66"/>
        <v>3716250.5929411873</v>
      </c>
      <c r="E1120" s="549">
        <f t="shared" si="71"/>
        <v>619375.09882352944</v>
      </c>
      <c r="F1120" s="506">
        <f t="shared" si="67"/>
        <v>3096875.4941176577</v>
      </c>
      <c r="G1120" s="554">
        <f t="shared" si="68"/>
        <v>1127371.2824631296</v>
      </c>
      <c r="H1120" s="555">
        <f t="shared" si="69"/>
        <v>1127371.2824631296</v>
      </c>
      <c r="I1120" s="552">
        <f t="shared" si="70"/>
        <v>0</v>
      </c>
      <c r="J1120" s="552"/>
      <c r="K1120" s="572"/>
      <c r="L1120" s="556"/>
      <c r="M1120" s="572"/>
      <c r="N1120" s="556"/>
      <c r="O1120" s="556"/>
    </row>
    <row r="1121" spans="3:15">
      <c r="C1121" s="548">
        <f>IF(D1085="","-",+C1120+1)</f>
        <v>2044</v>
      </c>
      <c r="D1121" s="506">
        <f t="shared" si="66"/>
        <v>3096875.4941176577</v>
      </c>
      <c r="E1121" s="549">
        <f t="shared" si="71"/>
        <v>619375.09882352944</v>
      </c>
      <c r="F1121" s="506">
        <f t="shared" si="67"/>
        <v>2477500.395294128</v>
      </c>
      <c r="G1121" s="554">
        <f t="shared" si="68"/>
        <v>1035008.3399832025</v>
      </c>
      <c r="H1121" s="555">
        <f t="shared" si="69"/>
        <v>1035008.3399832025</v>
      </c>
      <c r="I1121" s="552">
        <f t="shared" si="70"/>
        <v>0</v>
      </c>
      <c r="J1121" s="552"/>
      <c r="K1121" s="572"/>
      <c r="L1121" s="556"/>
      <c r="M1121" s="572"/>
      <c r="N1121" s="556"/>
      <c r="O1121" s="556"/>
    </row>
    <row r="1122" spans="3:15">
      <c r="C1122" s="548">
        <f>IF(D1085="","-",+C1121+1)</f>
        <v>2045</v>
      </c>
      <c r="D1122" s="506">
        <f t="shared" si="66"/>
        <v>2477500.395294128</v>
      </c>
      <c r="E1122" s="549">
        <f t="shared" si="71"/>
        <v>619375.09882352944</v>
      </c>
      <c r="F1122" s="506">
        <f t="shared" si="67"/>
        <v>1858125.2964705986</v>
      </c>
      <c r="G1122" s="554">
        <f t="shared" si="68"/>
        <v>942645.39750327542</v>
      </c>
      <c r="H1122" s="555">
        <f t="shared" si="69"/>
        <v>942645.39750327542</v>
      </c>
      <c r="I1122" s="552">
        <f t="shared" si="70"/>
        <v>0</v>
      </c>
      <c r="J1122" s="552"/>
      <c r="K1122" s="572"/>
      <c r="L1122" s="556"/>
      <c r="M1122" s="572"/>
      <c r="N1122" s="556"/>
      <c r="O1122" s="556"/>
    </row>
    <row r="1123" spans="3:15">
      <c r="C1123" s="548">
        <f>IF(D1085="","-",+C1122+1)</f>
        <v>2046</v>
      </c>
      <c r="D1123" s="506">
        <f t="shared" si="66"/>
        <v>1858125.2964705986</v>
      </c>
      <c r="E1123" s="549">
        <f t="shared" si="71"/>
        <v>619375.09882352944</v>
      </c>
      <c r="F1123" s="506">
        <f t="shared" si="67"/>
        <v>1238750.1976470691</v>
      </c>
      <c r="G1123" s="554">
        <f t="shared" si="68"/>
        <v>850282.45502334856</v>
      </c>
      <c r="H1123" s="555">
        <f t="shared" si="69"/>
        <v>850282.45502334856</v>
      </c>
      <c r="I1123" s="552">
        <f t="shared" si="70"/>
        <v>0</v>
      </c>
      <c r="J1123" s="552"/>
      <c r="K1123" s="572"/>
      <c r="L1123" s="556"/>
      <c r="M1123" s="572"/>
      <c r="N1123" s="556"/>
      <c r="O1123" s="556"/>
    </row>
    <row r="1124" spans="3:15">
      <c r="C1124" s="548">
        <f>IF(D1085="","-",+C1123+1)</f>
        <v>2047</v>
      </c>
      <c r="D1124" s="506">
        <f t="shared" si="66"/>
        <v>1238750.1976470691</v>
      </c>
      <c r="E1124" s="549">
        <f t="shared" si="71"/>
        <v>619375.09882352944</v>
      </c>
      <c r="F1124" s="506">
        <f t="shared" si="67"/>
        <v>619375.09882353968</v>
      </c>
      <c r="G1124" s="554">
        <f t="shared" si="68"/>
        <v>757919.51254342147</v>
      </c>
      <c r="H1124" s="555">
        <f t="shared" si="69"/>
        <v>757919.51254342147</v>
      </c>
      <c r="I1124" s="552">
        <f t="shared" si="70"/>
        <v>0</v>
      </c>
      <c r="J1124" s="552"/>
      <c r="K1124" s="572"/>
      <c r="L1124" s="556"/>
      <c r="M1124" s="572"/>
      <c r="N1124" s="556"/>
      <c r="O1124" s="556"/>
    </row>
    <row r="1125" spans="3:15">
      <c r="C1125" s="548">
        <f>IF(D1085="","-",+C1124+1)</f>
        <v>2048</v>
      </c>
      <c r="D1125" s="506">
        <f t="shared" si="66"/>
        <v>619375.09882353968</v>
      </c>
      <c r="E1125" s="549">
        <f t="shared" si="71"/>
        <v>619375.09882352944</v>
      </c>
      <c r="F1125" s="506">
        <f t="shared" si="67"/>
        <v>1.0244548320770264E-8</v>
      </c>
      <c r="G1125" s="554">
        <f t="shared" si="68"/>
        <v>665556.5700634945</v>
      </c>
      <c r="H1125" s="555">
        <f t="shared" si="69"/>
        <v>665556.5700634945</v>
      </c>
      <c r="I1125" s="552">
        <f t="shared" si="70"/>
        <v>0</v>
      </c>
      <c r="J1125" s="552"/>
      <c r="K1125" s="572"/>
      <c r="L1125" s="556"/>
      <c r="M1125" s="572"/>
      <c r="N1125" s="556"/>
      <c r="O1125" s="556"/>
    </row>
    <row r="1126" spans="3:15">
      <c r="C1126" s="548">
        <f>IF(D1085="","-",+C1125+1)</f>
        <v>2049</v>
      </c>
      <c r="D1126" s="506">
        <f t="shared" si="66"/>
        <v>1.0244548320770264E-8</v>
      </c>
      <c r="E1126" s="549">
        <f t="shared" si="71"/>
        <v>1.0244548320770264E-8</v>
      </c>
      <c r="F1126" s="506">
        <f t="shared" si="67"/>
        <v>0</v>
      </c>
      <c r="G1126" s="554">
        <f t="shared" si="68"/>
        <v>1.1008396132121919E-8</v>
      </c>
      <c r="H1126" s="555">
        <f t="shared" si="69"/>
        <v>1.1008396132121919E-8</v>
      </c>
      <c r="I1126" s="552">
        <f t="shared" si="70"/>
        <v>0</v>
      </c>
      <c r="J1126" s="552"/>
      <c r="K1126" s="572"/>
      <c r="L1126" s="556"/>
      <c r="M1126" s="572"/>
      <c r="N1126" s="556"/>
      <c r="O1126" s="556"/>
    </row>
    <row r="1127" spans="3:15">
      <c r="C1127" s="548">
        <f>IF(D1085="","-",+C1126+1)</f>
        <v>2050</v>
      </c>
      <c r="D1127" s="506">
        <f t="shared" si="66"/>
        <v>0</v>
      </c>
      <c r="E1127" s="549">
        <f t="shared" si="71"/>
        <v>0</v>
      </c>
      <c r="F1127" s="506">
        <f t="shared" si="67"/>
        <v>0</v>
      </c>
      <c r="G1127" s="554">
        <f t="shared" si="68"/>
        <v>0</v>
      </c>
      <c r="H1127" s="555">
        <f t="shared" si="69"/>
        <v>0</v>
      </c>
      <c r="I1127" s="552">
        <f t="shared" si="70"/>
        <v>0</v>
      </c>
      <c r="J1127" s="552"/>
      <c r="K1127" s="572"/>
      <c r="L1127" s="556"/>
      <c r="M1127" s="572"/>
      <c r="N1127" s="556"/>
      <c r="O1127" s="556"/>
    </row>
    <row r="1128" spans="3:15">
      <c r="C1128" s="548">
        <f>IF(D1085="","-",+C1127+1)</f>
        <v>2051</v>
      </c>
      <c r="D1128" s="506">
        <f t="shared" si="66"/>
        <v>0</v>
      </c>
      <c r="E1128" s="549">
        <f t="shared" si="71"/>
        <v>0</v>
      </c>
      <c r="F1128" s="506">
        <f t="shared" si="67"/>
        <v>0</v>
      </c>
      <c r="G1128" s="554">
        <f t="shared" si="68"/>
        <v>0</v>
      </c>
      <c r="H1128" s="555">
        <f t="shared" si="69"/>
        <v>0</v>
      </c>
      <c r="I1128" s="552">
        <f t="shared" si="70"/>
        <v>0</v>
      </c>
      <c r="J1128" s="552"/>
      <c r="K1128" s="572"/>
      <c r="L1128" s="556"/>
      <c r="M1128" s="572"/>
      <c r="N1128" s="556"/>
      <c r="O1128" s="556"/>
    </row>
    <row r="1129" spans="3:15">
      <c r="C1129" s="548">
        <f>IF(D1085="","-",+C1128+1)</f>
        <v>2052</v>
      </c>
      <c r="D1129" s="506">
        <f t="shared" si="66"/>
        <v>0</v>
      </c>
      <c r="E1129" s="549">
        <f t="shared" si="71"/>
        <v>0</v>
      </c>
      <c r="F1129" s="506">
        <f t="shared" si="67"/>
        <v>0</v>
      </c>
      <c r="G1129" s="554">
        <f t="shared" si="68"/>
        <v>0</v>
      </c>
      <c r="H1129" s="555">
        <f t="shared" si="69"/>
        <v>0</v>
      </c>
      <c r="I1129" s="552">
        <f t="shared" si="70"/>
        <v>0</v>
      </c>
      <c r="J1129" s="552"/>
      <c r="K1129" s="572"/>
      <c r="L1129" s="556"/>
      <c r="M1129" s="572"/>
      <c r="N1129" s="556"/>
      <c r="O1129" s="556"/>
    </row>
    <row r="1130" spans="3:15">
      <c r="C1130" s="548">
        <f>IF(D1085="","-",+C1129+1)</f>
        <v>2053</v>
      </c>
      <c r="D1130" s="506">
        <f t="shared" si="66"/>
        <v>0</v>
      </c>
      <c r="E1130" s="549">
        <f t="shared" si="71"/>
        <v>0</v>
      </c>
      <c r="F1130" s="506">
        <f t="shared" si="67"/>
        <v>0</v>
      </c>
      <c r="G1130" s="554">
        <f t="shared" si="68"/>
        <v>0</v>
      </c>
      <c r="H1130" s="555">
        <f t="shared" si="69"/>
        <v>0</v>
      </c>
      <c r="I1130" s="552">
        <f t="shared" si="70"/>
        <v>0</v>
      </c>
      <c r="J1130" s="552"/>
      <c r="K1130" s="572"/>
      <c r="L1130" s="556"/>
      <c r="M1130" s="572"/>
      <c r="N1130" s="556"/>
      <c r="O1130" s="556"/>
    </row>
    <row r="1131" spans="3:15">
      <c r="C1131" s="548">
        <f>IF(D1085="","-",+C1130+1)</f>
        <v>2054</v>
      </c>
      <c r="D1131" s="506">
        <f t="shared" si="66"/>
        <v>0</v>
      </c>
      <c r="E1131" s="549">
        <f t="shared" si="71"/>
        <v>0</v>
      </c>
      <c r="F1131" s="506">
        <f t="shared" si="67"/>
        <v>0</v>
      </c>
      <c r="G1131" s="554">
        <f t="shared" si="68"/>
        <v>0</v>
      </c>
      <c r="H1131" s="555">
        <f t="shared" si="69"/>
        <v>0</v>
      </c>
      <c r="I1131" s="552">
        <f t="shared" si="70"/>
        <v>0</v>
      </c>
      <c r="J1131" s="552"/>
      <c r="K1131" s="572"/>
      <c r="L1131" s="556"/>
      <c r="M1131" s="572"/>
      <c r="N1131" s="556"/>
      <c r="O1131" s="556"/>
    </row>
    <row r="1132" spans="3:15">
      <c r="C1132" s="548">
        <f>IF(D1085="","-",+C1131+1)</f>
        <v>2055</v>
      </c>
      <c r="D1132" s="506">
        <f t="shared" si="66"/>
        <v>0</v>
      </c>
      <c r="E1132" s="549">
        <f t="shared" si="71"/>
        <v>0</v>
      </c>
      <c r="F1132" s="506">
        <f t="shared" si="67"/>
        <v>0</v>
      </c>
      <c r="G1132" s="554">
        <f t="shared" si="68"/>
        <v>0</v>
      </c>
      <c r="H1132" s="555">
        <f t="shared" si="69"/>
        <v>0</v>
      </c>
      <c r="I1132" s="552">
        <f t="shared" si="70"/>
        <v>0</v>
      </c>
      <c r="J1132" s="552"/>
      <c r="K1132" s="572"/>
      <c r="L1132" s="556"/>
      <c r="M1132" s="572"/>
      <c r="N1132" s="556"/>
      <c r="O1132" s="556"/>
    </row>
    <row r="1133" spans="3:15">
      <c r="C1133" s="548">
        <f>IF(D1085="","-",+C1132+1)</f>
        <v>2056</v>
      </c>
      <c r="D1133" s="506">
        <f t="shared" si="66"/>
        <v>0</v>
      </c>
      <c r="E1133" s="549">
        <f t="shared" si="71"/>
        <v>0</v>
      </c>
      <c r="F1133" s="506">
        <f t="shared" si="67"/>
        <v>0</v>
      </c>
      <c r="G1133" s="554">
        <f t="shared" si="68"/>
        <v>0</v>
      </c>
      <c r="H1133" s="555">
        <f t="shared" si="69"/>
        <v>0</v>
      </c>
      <c r="I1133" s="552">
        <f t="shared" si="70"/>
        <v>0</v>
      </c>
      <c r="J1133" s="552"/>
      <c r="K1133" s="572"/>
      <c r="L1133" s="556"/>
      <c r="M1133" s="572"/>
      <c r="N1133" s="556"/>
      <c r="O1133" s="556"/>
    </row>
    <row r="1134" spans="3:15">
      <c r="C1134" s="548">
        <f>IF(D1085="","-",+C1133+1)</f>
        <v>2057</v>
      </c>
      <c r="D1134" s="506">
        <f t="shared" si="66"/>
        <v>0</v>
      </c>
      <c r="E1134" s="549">
        <f t="shared" si="71"/>
        <v>0</v>
      </c>
      <c r="F1134" s="506">
        <f t="shared" si="67"/>
        <v>0</v>
      </c>
      <c r="G1134" s="554">
        <f t="shared" si="68"/>
        <v>0</v>
      </c>
      <c r="H1134" s="555">
        <f t="shared" si="69"/>
        <v>0</v>
      </c>
      <c r="I1134" s="552">
        <f t="shared" si="70"/>
        <v>0</v>
      </c>
      <c r="J1134" s="552"/>
      <c r="K1134" s="572"/>
      <c r="L1134" s="556"/>
      <c r="M1134" s="572"/>
      <c r="N1134" s="556"/>
      <c r="O1134" s="556"/>
    </row>
    <row r="1135" spans="3:15">
      <c r="C1135" s="548">
        <f>IF(D1085="","-",+C1134+1)</f>
        <v>2058</v>
      </c>
      <c r="D1135" s="506">
        <f t="shared" si="66"/>
        <v>0</v>
      </c>
      <c r="E1135" s="549">
        <f t="shared" si="71"/>
        <v>0</v>
      </c>
      <c r="F1135" s="506">
        <f t="shared" si="67"/>
        <v>0</v>
      </c>
      <c r="G1135" s="554">
        <f t="shared" si="68"/>
        <v>0</v>
      </c>
      <c r="H1135" s="555">
        <f t="shared" si="69"/>
        <v>0</v>
      </c>
      <c r="I1135" s="552">
        <f t="shared" si="70"/>
        <v>0</v>
      </c>
      <c r="J1135" s="552"/>
      <c r="K1135" s="572"/>
      <c r="L1135" s="556"/>
      <c r="M1135" s="572"/>
      <c r="N1135" s="556"/>
      <c r="O1135" s="556"/>
    </row>
    <row r="1136" spans="3:15">
      <c r="C1136" s="548">
        <f>IF(D1085="","-",+C1135+1)</f>
        <v>2059</v>
      </c>
      <c r="D1136" s="506">
        <f t="shared" si="66"/>
        <v>0</v>
      </c>
      <c r="E1136" s="549">
        <f t="shared" si="71"/>
        <v>0</v>
      </c>
      <c r="F1136" s="506">
        <f t="shared" si="67"/>
        <v>0</v>
      </c>
      <c r="G1136" s="554">
        <f t="shared" si="68"/>
        <v>0</v>
      </c>
      <c r="H1136" s="555">
        <f t="shared" si="69"/>
        <v>0</v>
      </c>
      <c r="I1136" s="552">
        <f t="shared" si="70"/>
        <v>0</v>
      </c>
      <c r="J1136" s="552"/>
      <c r="K1136" s="572"/>
      <c r="L1136" s="556"/>
      <c r="M1136" s="572"/>
      <c r="N1136" s="556"/>
      <c r="O1136" s="556"/>
    </row>
    <row r="1137" spans="3:15">
      <c r="C1137" s="548">
        <f>IF(D1085="","-",+C1136+1)</f>
        <v>2060</v>
      </c>
      <c r="D1137" s="506">
        <f t="shared" si="66"/>
        <v>0</v>
      </c>
      <c r="E1137" s="549">
        <f t="shared" si="71"/>
        <v>0</v>
      </c>
      <c r="F1137" s="506">
        <f t="shared" si="67"/>
        <v>0</v>
      </c>
      <c r="G1137" s="554">
        <f t="shared" si="68"/>
        <v>0</v>
      </c>
      <c r="H1137" s="555">
        <f t="shared" si="69"/>
        <v>0</v>
      </c>
      <c r="I1137" s="552">
        <f t="shared" si="70"/>
        <v>0</v>
      </c>
      <c r="J1137" s="552"/>
      <c r="K1137" s="572"/>
      <c r="L1137" s="556"/>
      <c r="M1137" s="572"/>
      <c r="N1137" s="556"/>
      <c r="O1137" s="556"/>
    </row>
    <row r="1138" spans="3:15">
      <c r="C1138" s="548">
        <f>IF(D1085="","-",+C1137+1)</f>
        <v>2061</v>
      </c>
      <c r="D1138" s="506">
        <f t="shared" si="66"/>
        <v>0</v>
      </c>
      <c r="E1138" s="549">
        <f t="shared" si="71"/>
        <v>0</v>
      </c>
      <c r="F1138" s="506">
        <f t="shared" si="67"/>
        <v>0</v>
      </c>
      <c r="G1138" s="554">
        <f t="shared" si="68"/>
        <v>0</v>
      </c>
      <c r="H1138" s="555">
        <f t="shared" si="69"/>
        <v>0</v>
      </c>
      <c r="I1138" s="552">
        <f t="shared" si="70"/>
        <v>0</v>
      </c>
      <c r="J1138" s="552"/>
      <c r="K1138" s="572"/>
      <c r="L1138" s="556"/>
      <c r="M1138" s="572"/>
      <c r="N1138" s="556"/>
      <c r="O1138" s="556"/>
    </row>
    <row r="1139" spans="3:15">
      <c r="C1139" s="548">
        <f>IF(D1085="","-",+C1138+1)</f>
        <v>2062</v>
      </c>
      <c r="D1139" s="506">
        <f t="shared" si="66"/>
        <v>0</v>
      </c>
      <c r="E1139" s="549">
        <f t="shared" si="71"/>
        <v>0</v>
      </c>
      <c r="F1139" s="506">
        <f t="shared" si="67"/>
        <v>0</v>
      </c>
      <c r="G1139" s="554">
        <f t="shared" si="68"/>
        <v>0</v>
      </c>
      <c r="H1139" s="555">
        <f t="shared" si="69"/>
        <v>0</v>
      </c>
      <c r="I1139" s="552">
        <f t="shared" si="70"/>
        <v>0</v>
      </c>
      <c r="J1139" s="552"/>
      <c r="K1139" s="572"/>
      <c r="L1139" s="556"/>
      <c r="M1139" s="572"/>
      <c r="N1139" s="556"/>
      <c r="O1139" s="556"/>
    </row>
    <row r="1140" spans="3:15">
      <c r="C1140" s="548">
        <f>IF(D1085="","-",+C1139+1)</f>
        <v>2063</v>
      </c>
      <c r="D1140" s="506">
        <f t="shared" si="66"/>
        <v>0</v>
      </c>
      <c r="E1140" s="549">
        <f t="shared" si="71"/>
        <v>0</v>
      </c>
      <c r="F1140" s="506">
        <f t="shared" si="67"/>
        <v>0</v>
      </c>
      <c r="G1140" s="554">
        <f t="shared" si="68"/>
        <v>0</v>
      </c>
      <c r="H1140" s="555">
        <f t="shared" si="69"/>
        <v>0</v>
      </c>
      <c r="I1140" s="552">
        <f t="shared" si="70"/>
        <v>0</v>
      </c>
      <c r="J1140" s="552"/>
      <c r="K1140" s="572"/>
      <c r="L1140" s="556"/>
      <c r="M1140" s="572"/>
      <c r="N1140" s="556"/>
      <c r="O1140" s="556"/>
    </row>
    <row r="1141" spans="3:15">
      <c r="C1141" s="548">
        <f>IF(D1085="","-",+C1140+1)</f>
        <v>2064</v>
      </c>
      <c r="D1141" s="506">
        <f t="shared" si="66"/>
        <v>0</v>
      </c>
      <c r="E1141" s="549">
        <f t="shared" si="71"/>
        <v>0</v>
      </c>
      <c r="F1141" s="506">
        <f t="shared" si="67"/>
        <v>0</v>
      </c>
      <c r="G1141" s="554">
        <f t="shared" si="68"/>
        <v>0</v>
      </c>
      <c r="H1141" s="555">
        <f t="shared" si="69"/>
        <v>0</v>
      </c>
      <c r="I1141" s="552">
        <f t="shared" si="70"/>
        <v>0</v>
      </c>
      <c r="J1141" s="552"/>
      <c r="K1141" s="572"/>
      <c r="L1141" s="556"/>
      <c r="M1141" s="572"/>
      <c r="N1141" s="556"/>
      <c r="O1141" s="556"/>
    </row>
    <row r="1142" spans="3:15">
      <c r="C1142" s="548">
        <f>IF(D1085="","-",+C1141+1)</f>
        <v>2065</v>
      </c>
      <c r="D1142" s="506">
        <f t="shared" si="66"/>
        <v>0</v>
      </c>
      <c r="E1142" s="549">
        <f t="shared" si="71"/>
        <v>0</v>
      </c>
      <c r="F1142" s="506">
        <f t="shared" si="67"/>
        <v>0</v>
      </c>
      <c r="G1142" s="554">
        <f t="shared" si="68"/>
        <v>0</v>
      </c>
      <c r="H1142" s="555">
        <f t="shared" si="69"/>
        <v>0</v>
      </c>
      <c r="I1142" s="552">
        <f t="shared" si="70"/>
        <v>0</v>
      </c>
      <c r="J1142" s="552"/>
      <c r="K1142" s="572"/>
      <c r="L1142" s="556"/>
      <c r="M1142" s="572"/>
      <c r="N1142" s="556"/>
      <c r="O1142" s="556"/>
    </row>
    <row r="1143" spans="3:15">
      <c r="C1143" s="548">
        <f>IF(D1085="","-",+C1142+1)</f>
        <v>2066</v>
      </c>
      <c r="D1143" s="506">
        <f t="shared" si="66"/>
        <v>0</v>
      </c>
      <c r="E1143" s="549">
        <f t="shared" si="71"/>
        <v>0</v>
      </c>
      <c r="F1143" s="506">
        <f t="shared" si="67"/>
        <v>0</v>
      </c>
      <c r="G1143" s="554">
        <f t="shared" si="68"/>
        <v>0</v>
      </c>
      <c r="H1143" s="555">
        <f t="shared" si="69"/>
        <v>0</v>
      </c>
      <c r="I1143" s="552">
        <f t="shared" si="70"/>
        <v>0</v>
      </c>
      <c r="J1143" s="552"/>
      <c r="K1143" s="572"/>
      <c r="L1143" s="556"/>
      <c r="M1143" s="572"/>
      <c r="N1143" s="556"/>
      <c r="O1143" s="556"/>
    </row>
    <row r="1144" spans="3:15">
      <c r="C1144" s="548">
        <f>IF(D1085="","-",+C1143+1)</f>
        <v>2067</v>
      </c>
      <c r="D1144" s="506">
        <f t="shared" si="66"/>
        <v>0</v>
      </c>
      <c r="E1144" s="549">
        <f t="shared" si="71"/>
        <v>0</v>
      </c>
      <c r="F1144" s="506">
        <f t="shared" si="67"/>
        <v>0</v>
      </c>
      <c r="G1144" s="554">
        <f t="shared" si="68"/>
        <v>0</v>
      </c>
      <c r="H1144" s="555">
        <f t="shared" si="69"/>
        <v>0</v>
      </c>
      <c r="I1144" s="552">
        <f t="shared" si="70"/>
        <v>0</v>
      </c>
      <c r="J1144" s="552"/>
      <c r="K1144" s="572"/>
      <c r="L1144" s="556"/>
      <c r="M1144" s="572"/>
      <c r="N1144" s="556"/>
      <c r="O1144" s="556"/>
    </row>
    <row r="1145" spans="3:15">
      <c r="C1145" s="548">
        <f>IF(D1085="","-",+C1144+1)</f>
        <v>2068</v>
      </c>
      <c r="D1145" s="506">
        <f t="shared" si="66"/>
        <v>0</v>
      </c>
      <c r="E1145" s="549">
        <f t="shared" si="71"/>
        <v>0</v>
      </c>
      <c r="F1145" s="506">
        <f t="shared" si="67"/>
        <v>0</v>
      </c>
      <c r="G1145" s="554">
        <f t="shared" si="68"/>
        <v>0</v>
      </c>
      <c r="H1145" s="555">
        <f t="shared" si="69"/>
        <v>0</v>
      </c>
      <c r="I1145" s="552">
        <f t="shared" si="70"/>
        <v>0</v>
      </c>
      <c r="J1145" s="552"/>
      <c r="K1145" s="572"/>
      <c r="L1145" s="556"/>
      <c r="M1145" s="572"/>
      <c r="N1145" s="556"/>
      <c r="O1145" s="556"/>
    </row>
    <row r="1146" spans="3:15">
      <c r="C1146" s="548">
        <f>IF(D1085="","-",+C1145+1)</f>
        <v>2069</v>
      </c>
      <c r="D1146" s="506">
        <f t="shared" si="66"/>
        <v>0</v>
      </c>
      <c r="E1146" s="549">
        <f t="shared" si="71"/>
        <v>0</v>
      </c>
      <c r="F1146" s="506">
        <f t="shared" si="67"/>
        <v>0</v>
      </c>
      <c r="G1146" s="554">
        <f t="shared" si="68"/>
        <v>0</v>
      </c>
      <c r="H1146" s="555">
        <f t="shared" si="69"/>
        <v>0</v>
      </c>
      <c r="I1146" s="552">
        <f t="shared" si="70"/>
        <v>0</v>
      </c>
      <c r="J1146" s="552"/>
      <c r="K1146" s="572"/>
      <c r="L1146" s="556"/>
      <c r="M1146" s="572"/>
      <c r="N1146" s="556"/>
      <c r="O1146" s="556"/>
    </row>
    <row r="1147" spans="3:15">
      <c r="C1147" s="548">
        <f>IF(D1085="","-",+C1146+1)</f>
        <v>2070</v>
      </c>
      <c r="D1147" s="506">
        <f t="shared" si="66"/>
        <v>0</v>
      </c>
      <c r="E1147" s="549">
        <f t="shared" si="71"/>
        <v>0</v>
      </c>
      <c r="F1147" s="506">
        <f t="shared" si="67"/>
        <v>0</v>
      </c>
      <c r="G1147" s="554">
        <f t="shared" si="68"/>
        <v>0</v>
      </c>
      <c r="H1147" s="555">
        <f t="shared" si="69"/>
        <v>0</v>
      </c>
      <c r="I1147" s="552">
        <f t="shared" si="70"/>
        <v>0</v>
      </c>
      <c r="J1147" s="552"/>
      <c r="K1147" s="572"/>
      <c r="L1147" s="556"/>
      <c r="M1147" s="572"/>
      <c r="N1147" s="556"/>
      <c r="O1147" s="556"/>
    </row>
    <row r="1148" spans="3:15">
      <c r="C1148" s="548">
        <f>IF(D1085="","-",+C1147+1)</f>
        <v>2071</v>
      </c>
      <c r="D1148" s="506">
        <f t="shared" si="66"/>
        <v>0</v>
      </c>
      <c r="E1148" s="549">
        <f t="shared" si="71"/>
        <v>0</v>
      </c>
      <c r="F1148" s="506">
        <f t="shared" si="67"/>
        <v>0</v>
      </c>
      <c r="G1148" s="554">
        <f t="shared" si="68"/>
        <v>0</v>
      </c>
      <c r="H1148" s="555">
        <f t="shared" si="69"/>
        <v>0</v>
      </c>
      <c r="I1148" s="552">
        <f t="shared" si="70"/>
        <v>0</v>
      </c>
      <c r="J1148" s="552"/>
      <c r="K1148" s="572"/>
      <c r="L1148" s="556"/>
      <c r="M1148" s="572"/>
      <c r="N1148" s="556"/>
      <c r="O1148" s="556"/>
    </row>
    <row r="1149" spans="3:15">
      <c r="C1149" s="548">
        <f>IF(D1085="","-",+C1148+1)</f>
        <v>2072</v>
      </c>
      <c r="D1149" s="506">
        <f t="shared" si="66"/>
        <v>0</v>
      </c>
      <c r="E1149" s="549">
        <f t="shared" si="71"/>
        <v>0</v>
      </c>
      <c r="F1149" s="506">
        <f t="shared" si="67"/>
        <v>0</v>
      </c>
      <c r="G1149" s="554">
        <f t="shared" si="68"/>
        <v>0</v>
      </c>
      <c r="H1149" s="555">
        <f t="shared" si="69"/>
        <v>0</v>
      </c>
      <c r="I1149" s="552">
        <f t="shared" si="70"/>
        <v>0</v>
      </c>
      <c r="J1149" s="552"/>
      <c r="K1149" s="572"/>
      <c r="L1149" s="556"/>
      <c r="M1149" s="572"/>
      <c r="N1149" s="556"/>
      <c r="O1149" s="556"/>
    </row>
    <row r="1150" spans="3:15" ht="13.5" thickBot="1">
      <c r="C1150" s="558">
        <f>IF(D1085="","-",+C1149+1)</f>
        <v>2073</v>
      </c>
      <c r="D1150" s="559">
        <f t="shared" si="66"/>
        <v>0</v>
      </c>
      <c r="E1150" s="560">
        <f t="shared" si="71"/>
        <v>0</v>
      </c>
      <c r="F1150" s="559">
        <f t="shared" si="67"/>
        <v>0</v>
      </c>
      <c r="G1150" s="561">
        <f t="shared" si="68"/>
        <v>0</v>
      </c>
      <c r="H1150" s="561">
        <f t="shared" si="69"/>
        <v>0</v>
      </c>
      <c r="I1150" s="562">
        <f t="shared" si="70"/>
        <v>0</v>
      </c>
      <c r="J1150" s="552"/>
      <c r="K1150" s="573"/>
      <c r="L1150" s="563"/>
      <c r="M1150" s="573"/>
      <c r="N1150" s="563"/>
      <c r="O1150" s="563"/>
    </row>
    <row r="1151" spans="3:15">
      <c r="C1151" s="506" t="s">
        <v>83</v>
      </c>
      <c r="D1151" s="503"/>
      <c r="E1151" s="503">
        <f>SUM(E1091:E1150)</f>
        <v>21058753.359999999</v>
      </c>
      <c r="F1151" s="503"/>
      <c r="G1151" s="503">
        <f>SUM(G1091:G1150)</f>
        <v>77584874.157715365</v>
      </c>
      <c r="H1151" s="503">
        <f>SUM(H1091:H1150)</f>
        <v>77584874.157715365</v>
      </c>
      <c r="I1151" s="503">
        <f>SUM(I1091:I1150)</f>
        <v>0</v>
      </c>
      <c r="J1151" s="503"/>
      <c r="K1151" s="503"/>
      <c r="L1151" s="503"/>
      <c r="M1151" s="503"/>
      <c r="N1151" s="503"/>
      <c r="O1151" s="3"/>
    </row>
    <row r="1152" spans="3:15">
      <c r="D1152" s="47"/>
      <c r="E1152" s="3"/>
      <c r="F1152" s="3"/>
      <c r="G1152" s="3"/>
      <c r="H1152" s="490"/>
      <c r="I1152" s="490"/>
      <c r="J1152" s="503"/>
      <c r="K1152" s="490"/>
      <c r="L1152" s="490"/>
      <c r="M1152" s="490"/>
      <c r="N1152" s="490"/>
      <c r="O1152" s="3"/>
    </row>
    <row r="1153" spans="1:16">
      <c r="C1153" s="3" t="s">
        <v>13</v>
      </c>
      <c r="D1153" s="47"/>
      <c r="E1153" s="3"/>
      <c r="F1153" s="3"/>
      <c r="G1153" s="3"/>
      <c r="H1153" s="490"/>
      <c r="I1153" s="490"/>
      <c r="J1153" s="503"/>
      <c r="K1153" s="490"/>
      <c r="L1153" s="490"/>
      <c r="M1153" s="490"/>
      <c r="N1153" s="490"/>
      <c r="O1153" s="3"/>
    </row>
    <row r="1154" spans="1:16">
      <c r="C1154" s="3"/>
      <c r="D1154" s="47"/>
      <c r="E1154" s="3"/>
      <c r="F1154" s="3"/>
      <c r="G1154" s="3"/>
      <c r="H1154" s="490"/>
      <c r="I1154" s="490"/>
      <c r="J1154" s="503"/>
      <c r="K1154" s="490"/>
      <c r="L1154" s="490"/>
      <c r="M1154" s="490"/>
      <c r="N1154" s="490"/>
      <c r="O1154" s="3"/>
    </row>
    <row r="1155" spans="1:16">
      <c r="C1155" s="518" t="s">
        <v>14</v>
      </c>
      <c r="D1155" s="506"/>
      <c r="E1155" s="506"/>
      <c r="F1155" s="506"/>
      <c r="G1155" s="503"/>
      <c r="H1155" s="503"/>
      <c r="I1155" s="564"/>
      <c r="J1155" s="564"/>
      <c r="K1155" s="564"/>
      <c r="L1155" s="564"/>
      <c r="M1155" s="564"/>
      <c r="N1155" s="564"/>
      <c r="O1155" s="3"/>
    </row>
    <row r="1156" spans="1:16">
      <c r="C1156" s="507" t="s">
        <v>263</v>
      </c>
      <c r="D1156" s="506"/>
      <c r="E1156" s="506"/>
      <c r="F1156" s="506"/>
      <c r="G1156" s="503"/>
      <c r="H1156" s="503"/>
      <c r="I1156" s="564"/>
      <c r="J1156" s="564"/>
      <c r="K1156" s="564"/>
      <c r="L1156" s="564"/>
      <c r="M1156" s="564"/>
      <c r="N1156" s="564"/>
      <c r="O1156" s="3"/>
    </row>
    <row r="1157" spans="1:16">
      <c r="C1157" s="507" t="s">
        <v>84</v>
      </c>
      <c r="D1157" s="506"/>
      <c r="E1157" s="506"/>
      <c r="F1157" s="506"/>
      <c r="G1157" s="503"/>
      <c r="H1157" s="503"/>
      <c r="I1157" s="564"/>
      <c r="J1157" s="564"/>
      <c r="K1157" s="564"/>
      <c r="L1157" s="564"/>
      <c r="M1157" s="564"/>
      <c r="N1157" s="564"/>
      <c r="O1157" s="3"/>
    </row>
    <row r="1158" spans="1:16">
      <c r="C1158" s="507"/>
      <c r="D1158" s="506"/>
      <c r="E1158" s="506"/>
      <c r="F1158" s="506"/>
      <c r="G1158" s="503"/>
      <c r="H1158" s="503"/>
      <c r="I1158" s="564"/>
      <c r="J1158" s="564"/>
      <c r="K1158" s="564"/>
      <c r="L1158" s="564"/>
      <c r="M1158" s="564"/>
      <c r="N1158" s="564"/>
      <c r="O1158" s="3"/>
    </row>
    <row r="1159" spans="1:16">
      <c r="C1159" s="1200" t="s">
        <v>6</v>
      </c>
      <c r="D1159" s="1200"/>
      <c r="E1159" s="1200"/>
      <c r="F1159" s="1200"/>
      <c r="G1159" s="1200"/>
      <c r="H1159" s="1200"/>
      <c r="I1159" s="1200"/>
      <c r="J1159" s="1200"/>
      <c r="K1159" s="1200"/>
      <c r="L1159" s="1200"/>
      <c r="M1159" s="1200"/>
      <c r="N1159" s="1200"/>
      <c r="O1159" s="1200"/>
    </row>
    <row r="1160" spans="1:16">
      <c r="C1160" s="1200"/>
      <c r="D1160" s="1200"/>
      <c r="E1160" s="1200"/>
      <c r="F1160" s="1200"/>
      <c r="G1160" s="1200"/>
      <c r="H1160" s="1200"/>
      <c r="I1160" s="1200"/>
      <c r="J1160" s="1200"/>
      <c r="K1160" s="1200"/>
      <c r="L1160" s="1200"/>
      <c r="M1160" s="1200"/>
      <c r="N1160" s="1200"/>
      <c r="O1160" s="1200"/>
    </row>
    <row r="1161" spans="1:16">
      <c r="C1161" s="507"/>
      <c r="D1161" s="506"/>
      <c r="E1161" s="506"/>
      <c r="F1161" s="506"/>
      <c r="G1161" s="503"/>
      <c r="H1161" s="503"/>
    </row>
    <row r="1162" spans="1:16" ht="20.25">
      <c r="A1162" s="447" t="str">
        <f>""&amp;A1086&amp;" Worksheet J -  ATRR PROJECTED Calculation for PJM Projects Charged to Benefiting Zones"</f>
        <v xml:space="preserve"> Worksheet J -  ATRR PROJECTED Calculation for PJM Projects Charged to Benefiting Zones</v>
      </c>
      <c r="B1162" s="3"/>
      <c r="C1162" s="3"/>
      <c r="D1162" s="47"/>
      <c r="E1162" s="3"/>
      <c r="F1162" s="489"/>
      <c r="G1162" s="3"/>
      <c r="H1162" s="490"/>
      <c r="K1162" s="398"/>
      <c r="L1162" s="398"/>
      <c r="M1162" s="398"/>
      <c r="N1162" s="398" t="str">
        <f>"Page "&amp;SUM(P$8:P1162)&amp;" of "</f>
        <v xml:space="preserve">Page 14 of </v>
      </c>
      <c r="O1162" s="448">
        <f>COUNT(P$8:P$56653)</f>
        <v>23</v>
      </c>
      <c r="P1162">
        <v>1</v>
      </c>
    </row>
    <row r="1163" spans="1:16">
      <c r="B1163" s="3"/>
      <c r="C1163" s="3"/>
      <c r="D1163" s="47"/>
      <c r="E1163" s="3"/>
      <c r="F1163" s="3"/>
      <c r="G1163" s="3"/>
      <c r="H1163" s="490"/>
      <c r="I1163" s="3"/>
      <c r="J1163" s="3"/>
      <c r="K1163" s="3"/>
      <c r="L1163" s="3"/>
      <c r="M1163" s="3"/>
      <c r="N1163" s="3"/>
      <c r="O1163" s="3"/>
    </row>
    <row r="1164" spans="1:16" ht="18">
      <c r="B1164" s="449" t="s">
        <v>464</v>
      </c>
      <c r="C1164" s="122" t="s">
        <v>85</v>
      </c>
      <c r="D1164" s="47"/>
      <c r="E1164" s="3"/>
      <c r="F1164" s="3"/>
      <c r="G1164" s="3"/>
      <c r="H1164" s="490"/>
      <c r="I1164" s="490"/>
      <c r="J1164" s="503"/>
      <c r="K1164" s="490"/>
      <c r="L1164" s="490"/>
      <c r="M1164" s="490"/>
      <c r="N1164" s="490"/>
      <c r="O1164" s="3"/>
    </row>
    <row r="1165" spans="1:16" ht="18.75">
      <c r="B1165" s="449"/>
      <c r="C1165" s="6"/>
      <c r="D1165" s="47"/>
      <c r="E1165" s="3"/>
      <c r="F1165" s="3"/>
      <c r="G1165" s="3"/>
      <c r="H1165" s="490"/>
      <c r="I1165" s="490"/>
      <c r="J1165" s="503"/>
      <c r="K1165" s="490"/>
      <c r="L1165" s="490"/>
      <c r="M1165" s="490"/>
      <c r="N1165" s="490"/>
      <c r="O1165" s="3"/>
    </row>
    <row r="1166" spans="1:16" ht="18.75">
      <c r="B1166" s="449"/>
      <c r="C1166" s="6" t="s">
        <v>86</v>
      </c>
      <c r="D1166" s="47"/>
      <c r="E1166" s="3"/>
      <c r="F1166" s="3"/>
      <c r="G1166" s="3"/>
      <c r="H1166" s="490"/>
      <c r="I1166" s="490"/>
      <c r="J1166" s="503"/>
      <c r="K1166" s="490"/>
      <c r="L1166" s="490"/>
      <c r="M1166" s="490"/>
      <c r="N1166" s="490"/>
      <c r="O1166" s="3"/>
    </row>
    <row r="1167" spans="1:16" ht="15.75" thickBot="1">
      <c r="C1167" s="131"/>
      <c r="D1167" s="47"/>
      <c r="E1167" s="3"/>
      <c r="F1167" s="3"/>
      <c r="G1167" s="3"/>
      <c r="H1167" s="490"/>
      <c r="I1167" s="490"/>
      <c r="J1167" s="503"/>
      <c r="K1167" s="490"/>
      <c r="L1167" s="490"/>
      <c r="M1167" s="490"/>
      <c r="N1167" s="490"/>
      <c r="O1167" s="3"/>
    </row>
    <row r="1168" spans="1:16" ht="15.75">
      <c r="C1168" s="451" t="s">
        <v>87</v>
      </c>
      <c r="D1168" s="47"/>
      <c r="E1168" s="3"/>
      <c r="F1168" s="3"/>
      <c r="G1168" s="566"/>
      <c r="H1168" s="3" t="s">
        <v>66</v>
      </c>
      <c r="I1168" s="3"/>
      <c r="J1168" s="3"/>
      <c r="K1168" s="509" t="s">
        <v>91</v>
      </c>
      <c r="L1168" s="510"/>
      <c r="M1168" s="511"/>
      <c r="N1168" s="512">
        <f>IF(I1174=0,0,VLOOKUP(I1174,C1181:O1240,5))</f>
        <v>480282.96670466365</v>
      </c>
      <c r="O1168" s="3"/>
    </row>
    <row r="1169" spans="2:15" ht="15.75">
      <c r="C1169" s="451"/>
      <c r="D1169" s="47"/>
      <c r="E1169" s="3"/>
      <c r="F1169" s="3"/>
      <c r="G1169" s="3"/>
      <c r="H1169" s="513"/>
      <c r="I1169" s="513"/>
      <c r="J1169" s="514"/>
      <c r="K1169" s="515" t="s">
        <v>92</v>
      </c>
      <c r="L1169" s="516"/>
      <c r="M1169" s="3"/>
      <c r="N1169" s="517">
        <f>IF(I1174=0,0,VLOOKUP(I1174,C1181:O1240,6))</f>
        <v>480282.96670466365</v>
      </c>
      <c r="O1169" s="3"/>
    </row>
    <row r="1170" spans="2:15" ht="13.5" thickBot="1">
      <c r="C1170" s="518" t="s">
        <v>88</v>
      </c>
      <c r="D1170" s="1194" t="s">
        <v>816</v>
      </c>
      <c r="E1170" s="1194"/>
      <c r="F1170" s="1194"/>
      <c r="G1170" s="1194"/>
      <c r="H1170" s="1194"/>
      <c r="I1170" s="1194"/>
      <c r="J1170" s="503"/>
      <c r="K1170" s="519" t="s">
        <v>230</v>
      </c>
      <c r="L1170" s="520"/>
      <c r="M1170" s="520"/>
      <c r="N1170" s="521">
        <f>+N1169-N1168</f>
        <v>0</v>
      </c>
      <c r="O1170" s="3"/>
    </row>
    <row r="1171" spans="2:15">
      <c r="C1171" s="522"/>
      <c r="D1171" s="523"/>
      <c r="E1171" s="506"/>
      <c r="F1171" s="506"/>
      <c r="G1171" s="524"/>
      <c r="H1171" s="490"/>
      <c r="I1171" s="490"/>
      <c r="J1171" s="503"/>
      <c r="K1171" s="490"/>
      <c r="L1171" s="490"/>
      <c r="M1171" s="490"/>
      <c r="N1171" s="490"/>
      <c r="O1171" s="3"/>
    </row>
    <row r="1172" spans="2:15" ht="13.5" thickBot="1">
      <c r="C1172" s="522"/>
      <c r="D1172" s="3"/>
      <c r="E1172" s="524"/>
      <c r="F1172" s="524"/>
      <c r="G1172" s="524"/>
      <c r="H1172" s="524"/>
      <c r="I1172" s="524"/>
      <c r="J1172" s="524"/>
      <c r="K1172" s="524"/>
      <c r="L1172" s="524"/>
      <c r="M1172" s="524"/>
      <c r="N1172" s="524"/>
      <c r="O1172" s="3"/>
    </row>
    <row r="1173" spans="2:15" ht="13.5" thickBot="1">
      <c r="C1173" s="525" t="s">
        <v>89</v>
      </c>
      <c r="D1173" s="526"/>
      <c r="E1173" s="526"/>
      <c r="F1173" s="526"/>
      <c r="G1173" s="526"/>
      <c r="H1173" s="526"/>
      <c r="I1173" s="527"/>
      <c r="K1173" s="3"/>
      <c r="L1173" s="3"/>
      <c r="M1173" s="3"/>
      <c r="N1173" s="3"/>
      <c r="O1173" s="3"/>
    </row>
    <row r="1174" spans="2:15" ht="15">
      <c r="C1174" s="528" t="s">
        <v>67</v>
      </c>
      <c r="D1174" s="568">
        <v>3781771.35</v>
      </c>
      <c r="E1174" s="3" t="s">
        <v>68</v>
      </c>
      <c r="G1174" s="47"/>
      <c r="H1174" s="47"/>
      <c r="I1174" s="529">
        <f>$L$26</f>
        <v>2026</v>
      </c>
      <c r="J1174" s="70"/>
      <c r="K1174" s="1193" t="s">
        <v>239</v>
      </c>
      <c r="L1174" s="1193"/>
      <c r="M1174" s="1193"/>
      <c r="N1174" s="1193"/>
      <c r="O1174" s="1193"/>
    </row>
    <row r="1175" spans="2:15">
      <c r="C1175" s="528" t="s">
        <v>70</v>
      </c>
      <c r="D1175" s="569">
        <v>2014</v>
      </c>
      <c r="E1175" s="528" t="s">
        <v>71</v>
      </c>
      <c r="F1175" s="47"/>
      <c r="H1175"/>
      <c r="I1175" s="570">
        <f>IF(G1168="",0,$F$17)</f>
        <v>0</v>
      </c>
      <c r="J1175" s="530"/>
      <c r="K1175" s="503" t="s">
        <v>239</v>
      </c>
    </row>
    <row r="1176" spans="2:15">
      <c r="C1176" s="528" t="s">
        <v>72</v>
      </c>
      <c r="D1176" s="568">
        <v>9</v>
      </c>
      <c r="E1176" s="528" t="s">
        <v>73</v>
      </c>
      <c r="F1176" s="47"/>
      <c r="H1176"/>
      <c r="I1176" s="531">
        <f>$G$70</f>
        <v>0.14912278949438812</v>
      </c>
      <c r="J1176" s="489"/>
      <c r="K1176" t="str">
        <f>"          INPUT PROJECTED ARR (WITH &amp; WITHOUT INCENTIVES) FROM EACH PRIOR YEAR"</f>
        <v xml:space="preserve">          INPUT PROJECTED ARR (WITH &amp; WITHOUT INCENTIVES) FROM EACH PRIOR YEAR</v>
      </c>
    </row>
    <row r="1177" spans="2:15">
      <c r="C1177" s="528" t="s">
        <v>74</v>
      </c>
      <c r="D1177" s="532">
        <f>$G$79</f>
        <v>34</v>
      </c>
      <c r="E1177" s="528" t="s">
        <v>75</v>
      </c>
      <c r="F1177" s="47"/>
      <c r="H1177"/>
      <c r="I1177" s="531">
        <f>IF(G1168="",I1176,$G$69)</f>
        <v>0.14912278949438812</v>
      </c>
      <c r="J1177" s="489"/>
      <c r="K1177" t="s">
        <v>152</v>
      </c>
    </row>
    <row r="1178" spans="2:15" ht="13.5" thickBot="1">
      <c r="C1178" s="528" t="s">
        <v>76</v>
      </c>
      <c r="D1178" s="567" t="s">
        <v>802</v>
      </c>
      <c r="E1178" s="533" t="s">
        <v>77</v>
      </c>
      <c r="F1178" s="534"/>
      <c r="G1178" s="535"/>
      <c r="H1178" s="535"/>
      <c r="I1178" s="521">
        <f>IF(D1174=0,0,D1174/D1177)</f>
        <v>111228.56911764706</v>
      </c>
      <c r="J1178" s="503"/>
      <c r="K1178" s="503" t="s">
        <v>158</v>
      </c>
      <c r="L1178" s="503"/>
      <c r="M1178" s="503"/>
      <c r="N1178" s="503"/>
      <c r="O1178" s="3"/>
    </row>
    <row r="1179" spans="2:15" ht="38.25">
      <c r="B1179" s="450"/>
      <c r="C1179" s="536" t="s">
        <v>67</v>
      </c>
      <c r="D1179" s="537" t="s">
        <v>78</v>
      </c>
      <c r="E1179" s="538" t="s">
        <v>79</v>
      </c>
      <c r="F1179" s="537" t="s">
        <v>80</v>
      </c>
      <c r="G1179" s="538" t="s">
        <v>151</v>
      </c>
      <c r="H1179" s="539" t="s">
        <v>151</v>
      </c>
      <c r="I1179" s="536" t="s">
        <v>90</v>
      </c>
      <c r="J1179" s="540"/>
      <c r="K1179" s="538" t="s">
        <v>160</v>
      </c>
      <c r="L1179" s="541"/>
      <c r="M1179" s="538" t="s">
        <v>160</v>
      </c>
      <c r="N1179" s="541"/>
      <c r="O1179" s="541"/>
    </row>
    <row r="1180" spans="2:15" ht="13.5" thickBot="1">
      <c r="C1180" s="542" t="s">
        <v>467</v>
      </c>
      <c r="D1180" s="543" t="s">
        <v>468</v>
      </c>
      <c r="E1180" s="542" t="s">
        <v>361</v>
      </c>
      <c r="F1180" s="543" t="s">
        <v>468</v>
      </c>
      <c r="G1180" s="544" t="s">
        <v>93</v>
      </c>
      <c r="H1180" s="545" t="s">
        <v>95</v>
      </c>
      <c r="I1180" s="542" t="s">
        <v>15</v>
      </c>
      <c r="J1180" s="546"/>
      <c r="K1180" s="544" t="s">
        <v>82</v>
      </c>
      <c r="L1180" s="547"/>
      <c r="M1180" s="544" t="s">
        <v>95</v>
      </c>
      <c r="N1180" s="547"/>
      <c r="O1180" s="547"/>
    </row>
    <row r="1181" spans="2:15">
      <c r="C1181" s="548">
        <f>IF(D1175= "","-",D1175)</f>
        <v>2014</v>
      </c>
      <c r="D1181" s="506">
        <f>+D1174</f>
        <v>3781771.35</v>
      </c>
      <c r="E1181" s="549">
        <f>+I1178/12*(12-D1176)</f>
        <v>27807.142279411764</v>
      </c>
      <c r="F1181" s="506">
        <f>+D1181-E1181</f>
        <v>3753964.2077205884</v>
      </c>
      <c r="G1181" s="723">
        <f>+$I$96*((D1181+F1181)/2)+E1181</f>
        <v>589682.09590908315</v>
      </c>
      <c r="H1181" s="724">
        <f>$I$97*((D1181+F1181)/2)+E1181</f>
        <v>589682.09590908315</v>
      </c>
      <c r="I1181" s="552">
        <f>+H1181-G1181</f>
        <v>0</v>
      </c>
      <c r="J1181" s="552"/>
      <c r="K1181" s="976">
        <v>2808368</v>
      </c>
      <c r="L1181" s="553"/>
      <c r="M1181" s="976">
        <v>2808368</v>
      </c>
      <c r="N1181" s="553"/>
      <c r="O1181" s="553"/>
    </row>
    <row r="1182" spans="2:15">
      <c r="C1182" s="548">
        <f>IF(D1175="","-",+C1181+1)</f>
        <v>2015</v>
      </c>
      <c r="D1182" s="506">
        <f t="shared" ref="D1182:D1240" si="72">F1181</f>
        <v>3753964.2077205884</v>
      </c>
      <c r="E1182" s="549">
        <f>IF(D1182&gt;$I$1178,$I$1178,D1182)</f>
        <v>111228.56911764706</v>
      </c>
      <c r="F1182" s="506">
        <f t="shared" ref="F1182:F1240" si="73">+D1182-E1182</f>
        <v>3642735.6386029413</v>
      </c>
      <c r="G1182" s="554">
        <f t="shared" ref="G1182:G1240" si="74">+$I$96*((D1182+F1182)/2)+E1182</f>
        <v>662736.82618588535</v>
      </c>
      <c r="H1182" s="555">
        <f t="shared" ref="H1182:H1240" si="75">$I$97*((D1182+F1182)/2)+E1182</f>
        <v>662736.82618588535</v>
      </c>
      <c r="I1182" s="552">
        <f t="shared" ref="I1182:I1240" si="76">+H1182-G1182</f>
        <v>0</v>
      </c>
      <c r="J1182" s="552"/>
      <c r="K1182" s="975">
        <v>492192</v>
      </c>
      <c r="L1182" s="556"/>
      <c r="M1182" s="975">
        <v>492192</v>
      </c>
      <c r="N1182" s="556"/>
      <c r="O1182" s="556"/>
    </row>
    <row r="1183" spans="2:15">
      <c r="C1183" s="548">
        <f>IF(D1175="","-",+C1182+1)</f>
        <v>2016</v>
      </c>
      <c r="D1183" s="506">
        <f t="shared" si="72"/>
        <v>3642735.6386029413</v>
      </c>
      <c r="E1183" s="549">
        <f t="shared" ref="E1183:E1240" si="77">IF(D1183&gt;$I$1178,$I$1178,D1183)</f>
        <v>111228.56911764706</v>
      </c>
      <c r="F1183" s="506">
        <f t="shared" si="73"/>
        <v>3531507.0694852942</v>
      </c>
      <c r="G1183" s="554">
        <f t="shared" si="74"/>
        <v>646150.11168759246</v>
      </c>
      <c r="H1183" s="555">
        <f t="shared" si="75"/>
        <v>646150.11168759246</v>
      </c>
      <c r="I1183" s="552">
        <f t="shared" si="76"/>
        <v>0</v>
      </c>
      <c r="J1183" s="552"/>
      <c r="K1183" s="975">
        <v>539236</v>
      </c>
      <c r="L1183" s="556"/>
      <c r="M1183" s="975">
        <v>539236</v>
      </c>
      <c r="N1183" s="556"/>
      <c r="O1183" s="556"/>
    </row>
    <row r="1184" spans="2:15">
      <c r="C1184" s="548">
        <f>IF(D1175="","-",+C1183+1)</f>
        <v>2017</v>
      </c>
      <c r="D1184" s="506">
        <f t="shared" si="72"/>
        <v>3531507.0694852942</v>
      </c>
      <c r="E1184" s="549">
        <f t="shared" si="77"/>
        <v>111228.56911764706</v>
      </c>
      <c r="F1184" s="506">
        <f t="shared" si="73"/>
        <v>3420278.500367647</v>
      </c>
      <c r="G1184" s="554">
        <f t="shared" si="74"/>
        <v>629563.39718929958</v>
      </c>
      <c r="H1184" s="555">
        <f t="shared" si="75"/>
        <v>629563.39718929958</v>
      </c>
      <c r="I1184" s="552">
        <f t="shared" si="76"/>
        <v>0</v>
      </c>
      <c r="J1184" s="552"/>
      <c r="K1184" s="572">
        <v>646665</v>
      </c>
      <c r="L1184" s="556"/>
      <c r="M1184" s="572">
        <v>646665</v>
      </c>
      <c r="N1184" s="556"/>
      <c r="O1184" s="556"/>
    </row>
    <row r="1185" spans="3:15">
      <c r="C1185" s="548">
        <f>IF(D1175="","-",+C1184+1)</f>
        <v>2018</v>
      </c>
      <c r="D1185" s="506">
        <f t="shared" si="72"/>
        <v>3420278.500367647</v>
      </c>
      <c r="E1185" s="549">
        <f t="shared" si="77"/>
        <v>111228.56911764706</v>
      </c>
      <c r="F1185" s="506">
        <f t="shared" si="73"/>
        <v>3309049.9312499999</v>
      </c>
      <c r="G1185" s="554">
        <f t="shared" si="74"/>
        <v>612976.68269100669</v>
      </c>
      <c r="H1185" s="555">
        <f t="shared" si="75"/>
        <v>612976.68269100669</v>
      </c>
      <c r="I1185" s="552">
        <f t="shared" si="76"/>
        <v>0</v>
      </c>
      <c r="J1185" s="552"/>
      <c r="K1185" s="572">
        <v>574858</v>
      </c>
      <c r="L1185" s="556"/>
      <c r="M1185" s="572">
        <v>574858</v>
      </c>
      <c r="N1185" s="556"/>
      <c r="O1185" s="556"/>
    </row>
    <row r="1186" spans="3:15">
      <c r="C1186" s="974">
        <f>IF(D1175="","-",+C1185+1)</f>
        <v>2019</v>
      </c>
      <c r="D1186" s="506">
        <f t="shared" si="72"/>
        <v>3309049.9312499999</v>
      </c>
      <c r="E1186" s="549">
        <f t="shared" si="77"/>
        <v>111228.56911764706</v>
      </c>
      <c r="F1186" s="506">
        <f t="shared" si="73"/>
        <v>3197821.3621323528</v>
      </c>
      <c r="G1186" s="554">
        <f t="shared" si="74"/>
        <v>596389.9681927138</v>
      </c>
      <c r="H1186" s="555">
        <f t="shared" si="75"/>
        <v>596389.9681927138</v>
      </c>
      <c r="I1186" s="552">
        <f t="shared" si="76"/>
        <v>0</v>
      </c>
      <c r="J1186" s="552"/>
      <c r="K1186" s="572">
        <v>589080.99685115856</v>
      </c>
      <c r="L1186" s="556"/>
      <c r="M1186" s="572">
        <v>589080.99685115856</v>
      </c>
      <c r="N1186" s="556"/>
      <c r="O1186" s="556"/>
    </row>
    <row r="1187" spans="3:15">
      <c r="C1187" s="974">
        <f>IF(D1175="","-",+C1186+1)</f>
        <v>2020</v>
      </c>
      <c r="D1187" s="506">
        <f t="shared" si="72"/>
        <v>3197821.3621323528</v>
      </c>
      <c r="E1187" s="549">
        <f t="shared" si="77"/>
        <v>111228.56911764706</v>
      </c>
      <c r="F1187" s="506">
        <f t="shared" si="73"/>
        <v>3086592.7930147056</v>
      </c>
      <c r="G1187" s="554">
        <f t="shared" si="74"/>
        <v>579803.25369442091</v>
      </c>
      <c r="H1187" s="555">
        <f t="shared" si="75"/>
        <v>579803.25369442091</v>
      </c>
      <c r="I1187" s="552">
        <f t="shared" si="76"/>
        <v>0</v>
      </c>
      <c r="J1187" s="552"/>
      <c r="K1187" s="572">
        <v>616709.80045152281</v>
      </c>
      <c r="L1187" s="556"/>
      <c r="M1187" s="572">
        <v>616709.80045152281</v>
      </c>
      <c r="N1187" s="556"/>
      <c r="O1187" s="556"/>
    </row>
    <row r="1188" spans="3:15">
      <c r="C1188" s="974">
        <f>IF(D1175="","-",+C1187+1)</f>
        <v>2021</v>
      </c>
      <c r="D1188" s="506">
        <f t="shared" si="72"/>
        <v>3086592.7930147056</v>
      </c>
      <c r="E1188" s="549">
        <f t="shared" si="77"/>
        <v>111228.56911764706</v>
      </c>
      <c r="F1188" s="506">
        <f t="shared" si="73"/>
        <v>2975364.2238970585</v>
      </c>
      <c r="G1188" s="554">
        <f t="shared" si="74"/>
        <v>563216.53919612803</v>
      </c>
      <c r="H1188" s="555">
        <f t="shared" si="75"/>
        <v>563216.53919612803</v>
      </c>
      <c r="I1188" s="552">
        <f t="shared" si="76"/>
        <v>0</v>
      </c>
      <c r="J1188" s="552"/>
      <c r="K1188" s="572">
        <v>556326.01986272004</v>
      </c>
      <c r="L1188" s="556"/>
      <c r="M1188" s="572">
        <v>556326.01986272004</v>
      </c>
      <c r="N1188" s="556"/>
      <c r="O1188" s="556"/>
    </row>
    <row r="1189" spans="3:15">
      <c r="C1189" s="974">
        <f>IF(D1175="","-",+C1188+1)</f>
        <v>2022</v>
      </c>
      <c r="D1189" s="506">
        <f t="shared" si="72"/>
        <v>2975364.2238970585</v>
      </c>
      <c r="E1189" s="549">
        <f t="shared" si="77"/>
        <v>111228.56911764706</v>
      </c>
      <c r="F1189" s="506">
        <f t="shared" si="73"/>
        <v>2864135.6547794114</v>
      </c>
      <c r="G1189" s="554">
        <f t="shared" si="74"/>
        <v>546629.82469783514</v>
      </c>
      <c r="H1189" s="555">
        <f t="shared" si="75"/>
        <v>546629.82469783514</v>
      </c>
      <c r="I1189" s="552">
        <f t="shared" si="76"/>
        <v>0</v>
      </c>
      <c r="J1189" s="552"/>
      <c r="K1189" s="572">
        <v>555205.12375034532</v>
      </c>
      <c r="L1189" s="556"/>
      <c r="M1189" s="572">
        <v>555205.12375034532</v>
      </c>
      <c r="N1189" s="556"/>
      <c r="O1189" s="556"/>
    </row>
    <row r="1190" spans="3:15">
      <c r="C1190" s="974">
        <f>IF(D1175="","-",+C1189+1)</f>
        <v>2023</v>
      </c>
      <c r="D1190" s="506">
        <f t="shared" si="72"/>
        <v>2864135.6547794114</v>
      </c>
      <c r="E1190" s="549">
        <f t="shared" si="77"/>
        <v>111228.56911764706</v>
      </c>
      <c r="F1190" s="506">
        <f t="shared" si="73"/>
        <v>2752907.0856617643</v>
      </c>
      <c r="G1190" s="554">
        <f t="shared" si="74"/>
        <v>530043.11019954225</v>
      </c>
      <c r="H1190" s="555">
        <f t="shared" si="75"/>
        <v>530043.11019954225</v>
      </c>
      <c r="I1190" s="552">
        <f t="shared" si="76"/>
        <v>0</v>
      </c>
      <c r="J1190" s="552"/>
      <c r="K1190" s="572">
        <v>540794.34076147818</v>
      </c>
      <c r="L1190" s="556"/>
      <c r="M1190" s="572">
        <v>540794.34076147818</v>
      </c>
      <c r="N1190" s="556"/>
      <c r="O1190" s="556"/>
    </row>
    <row r="1191" spans="3:15">
      <c r="C1191" s="548">
        <f>IF(D1175="","-",+C1190+1)</f>
        <v>2024</v>
      </c>
      <c r="D1191" s="506">
        <f t="shared" si="72"/>
        <v>2752907.0856617643</v>
      </c>
      <c r="E1191" s="549">
        <f t="shared" si="77"/>
        <v>111228.56911764706</v>
      </c>
      <c r="F1191" s="506">
        <f t="shared" si="73"/>
        <v>2641678.5165441171</v>
      </c>
      <c r="G1191" s="554">
        <f t="shared" si="74"/>
        <v>513456.39570124942</v>
      </c>
      <c r="H1191" s="555">
        <f t="shared" si="75"/>
        <v>513456.39570124942</v>
      </c>
      <c r="I1191" s="552">
        <f t="shared" si="76"/>
        <v>0</v>
      </c>
      <c r="J1191" s="552"/>
      <c r="K1191" s="572">
        <v>516346.72295264277</v>
      </c>
      <c r="L1191" s="556"/>
      <c r="M1191" s="572">
        <v>516346.72295264277</v>
      </c>
      <c r="N1191" s="556"/>
      <c r="O1191" s="556"/>
    </row>
    <row r="1192" spans="3:15">
      <c r="C1192" s="548">
        <f>IF(D1175="","-",+C1191+1)</f>
        <v>2025</v>
      </c>
      <c r="D1192" s="506">
        <f t="shared" si="72"/>
        <v>2641678.5165441171</v>
      </c>
      <c r="E1192" s="549">
        <f t="shared" si="77"/>
        <v>111228.56911764706</v>
      </c>
      <c r="F1192" s="506">
        <f t="shared" si="73"/>
        <v>2530449.94742647</v>
      </c>
      <c r="G1192" s="554">
        <f t="shared" si="74"/>
        <v>496869.68120295648</v>
      </c>
      <c r="H1192" s="555">
        <f t="shared" si="75"/>
        <v>496869.68120295648</v>
      </c>
      <c r="I1192" s="552">
        <f t="shared" si="76"/>
        <v>0</v>
      </c>
      <c r="J1192" s="552"/>
      <c r="K1192" s="572">
        <v>498696.59901589213</v>
      </c>
      <c r="L1192" s="556"/>
      <c r="M1192" s="572">
        <v>498696.59901589213</v>
      </c>
      <c r="N1192" s="556"/>
      <c r="O1192" s="556"/>
    </row>
    <row r="1193" spans="3:15">
      <c r="C1193" s="955">
        <f>IF(D1175="","-",+C1192+1)</f>
        <v>2026</v>
      </c>
      <c r="D1193" s="506">
        <f t="shared" si="72"/>
        <v>2530449.94742647</v>
      </c>
      <c r="E1193" s="549">
        <f t="shared" si="77"/>
        <v>111228.56911764706</v>
      </c>
      <c r="F1193" s="506">
        <f t="shared" si="73"/>
        <v>2419221.3783088229</v>
      </c>
      <c r="G1193" s="554">
        <f t="shared" si="74"/>
        <v>480282.96670466365</v>
      </c>
      <c r="H1193" s="555">
        <f t="shared" si="75"/>
        <v>480282.96670466365</v>
      </c>
      <c r="I1193" s="552">
        <f t="shared" si="76"/>
        <v>0</v>
      </c>
      <c r="J1193" s="552"/>
      <c r="K1193" s="572"/>
      <c r="L1193" s="556"/>
      <c r="M1193" s="572"/>
      <c r="N1193" s="557"/>
      <c r="O1193" s="556"/>
    </row>
    <row r="1194" spans="3:15">
      <c r="C1194" s="548">
        <f>IF(D1175="","-",+C1193+1)</f>
        <v>2027</v>
      </c>
      <c r="D1194" s="506">
        <f t="shared" si="72"/>
        <v>2419221.3783088229</v>
      </c>
      <c r="E1194" s="549">
        <f t="shared" si="77"/>
        <v>111228.56911764706</v>
      </c>
      <c r="F1194" s="506">
        <f t="shared" si="73"/>
        <v>2307992.8091911757</v>
      </c>
      <c r="G1194" s="554">
        <f t="shared" si="74"/>
        <v>463696.25220637064</v>
      </c>
      <c r="H1194" s="555">
        <f t="shared" si="75"/>
        <v>463696.25220637064</v>
      </c>
      <c r="I1194" s="552">
        <f t="shared" si="76"/>
        <v>0</v>
      </c>
      <c r="J1194" s="552"/>
      <c r="K1194" s="572"/>
      <c r="L1194" s="556"/>
      <c r="M1194" s="572"/>
      <c r="N1194" s="556"/>
      <c r="O1194" s="556"/>
    </row>
    <row r="1195" spans="3:15">
      <c r="C1195" s="548">
        <f>IF(D1175="","-",+C1194+1)</f>
        <v>2028</v>
      </c>
      <c r="D1195" s="506">
        <f t="shared" si="72"/>
        <v>2307992.8091911757</v>
      </c>
      <c r="E1195" s="549">
        <f t="shared" si="77"/>
        <v>111228.56911764706</v>
      </c>
      <c r="F1195" s="506">
        <f t="shared" si="73"/>
        <v>2196764.2400735286</v>
      </c>
      <c r="G1195" s="554">
        <f t="shared" si="74"/>
        <v>447109.53770807787</v>
      </c>
      <c r="H1195" s="555">
        <f t="shared" si="75"/>
        <v>447109.53770807787</v>
      </c>
      <c r="I1195" s="552">
        <f t="shared" si="76"/>
        <v>0</v>
      </c>
      <c r="J1195" s="552"/>
      <c r="K1195" s="572"/>
      <c r="L1195" s="556"/>
      <c r="M1195" s="572"/>
      <c r="N1195" s="556"/>
      <c r="O1195" s="556"/>
    </row>
    <row r="1196" spans="3:15">
      <c r="C1196" s="548">
        <f>IF(D1175="","-",+C1195+1)</f>
        <v>2029</v>
      </c>
      <c r="D1196" s="506">
        <f t="shared" si="72"/>
        <v>2196764.2400735286</v>
      </c>
      <c r="E1196" s="549">
        <f t="shared" si="77"/>
        <v>111228.56911764706</v>
      </c>
      <c r="F1196" s="506">
        <f t="shared" si="73"/>
        <v>2085535.6709558815</v>
      </c>
      <c r="G1196" s="554">
        <f t="shared" si="74"/>
        <v>430522.82320978487</v>
      </c>
      <c r="H1196" s="555">
        <f t="shared" si="75"/>
        <v>430522.82320978487</v>
      </c>
      <c r="I1196" s="552">
        <f t="shared" si="76"/>
        <v>0</v>
      </c>
      <c r="J1196" s="552"/>
      <c r="K1196" s="572"/>
      <c r="L1196" s="556"/>
      <c r="M1196" s="572"/>
      <c r="N1196" s="556"/>
      <c r="O1196" s="556"/>
    </row>
    <row r="1197" spans="3:15">
      <c r="C1197" s="548">
        <f>IF(D1175="","-",+C1196+1)</f>
        <v>2030</v>
      </c>
      <c r="D1197" s="506">
        <f t="shared" si="72"/>
        <v>2085535.6709558815</v>
      </c>
      <c r="E1197" s="549">
        <f t="shared" si="77"/>
        <v>111228.56911764706</v>
      </c>
      <c r="F1197" s="506">
        <f t="shared" si="73"/>
        <v>1974307.1018382343</v>
      </c>
      <c r="G1197" s="554">
        <f t="shared" si="74"/>
        <v>413936.10871149204</v>
      </c>
      <c r="H1197" s="555">
        <f t="shared" si="75"/>
        <v>413936.10871149204</v>
      </c>
      <c r="I1197" s="552">
        <f t="shared" si="76"/>
        <v>0</v>
      </c>
      <c r="J1197" s="552"/>
      <c r="K1197" s="572"/>
      <c r="L1197" s="556"/>
      <c r="M1197" s="572"/>
      <c r="N1197" s="556"/>
      <c r="O1197" s="556"/>
    </row>
    <row r="1198" spans="3:15">
      <c r="C1198" s="548">
        <f>IF(D1175="","-",+C1197+1)</f>
        <v>2031</v>
      </c>
      <c r="D1198" s="506">
        <f t="shared" si="72"/>
        <v>1974307.1018382343</v>
      </c>
      <c r="E1198" s="549">
        <f t="shared" si="77"/>
        <v>111228.56911764706</v>
      </c>
      <c r="F1198" s="506">
        <f t="shared" si="73"/>
        <v>1863078.5327205872</v>
      </c>
      <c r="G1198" s="554">
        <f t="shared" si="74"/>
        <v>397349.39421319915</v>
      </c>
      <c r="H1198" s="555">
        <f t="shared" si="75"/>
        <v>397349.39421319915</v>
      </c>
      <c r="I1198" s="552">
        <f t="shared" si="76"/>
        <v>0</v>
      </c>
      <c r="J1198" s="552"/>
      <c r="K1198" s="572"/>
      <c r="L1198" s="556"/>
      <c r="M1198" s="572"/>
      <c r="N1198" s="556"/>
      <c r="O1198" s="556"/>
    </row>
    <row r="1199" spans="3:15">
      <c r="C1199" s="548">
        <f>IF(D1175="","-",+C1198+1)</f>
        <v>2032</v>
      </c>
      <c r="D1199" s="506">
        <f t="shared" si="72"/>
        <v>1863078.5327205872</v>
      </c>
      <c r="E1199" s="549">
        <f t="shared" si="77"/>
        <v>111228.56911764706</v>
      </c>
      <c r="F1199" s="506">
        <f t="shared" si="73"/>
        <v>1751849.9636029401</v>
      </c>
      <c r="G1199" s="554">
        <f t="shared" si="74"/>
        <v>380762.67971490626</v>
      </c>
      <c r="H1199" s="555">
        <f t="shared" si="75"/>
        <v>380762.67971490626</v>
      </c>
      <c r="I1199" s="552">
        <f t="shared" si="76"/>
        <v>0</v>
      </c>
      <c r="J1199" s="552"/>
      <c r="K1199" s="572"/>
      <c r="L1199" s="556"/>
      <c r="M1199" s="572"/>
      <c r="N1199" s="556"/>
      <c r="O1199" s="556"/>
    </row>
    <row r="1200" spans="3:15">
      <c r="C1200" s="548">
        <f>IF(D1175="","-",+C1199+1)</f>
        <v>2033</v>
      </c>
      <c r="D1200" s="506">
        <f t="shared" si="72"/>
        <v>1751849.9636029401</v>
      </c>
      <c r="E1200" s="549">
        <f t="shared" si="77"/>
        <v>111228.56911764706</v>
      </c>
      <c r="F1200" s="506">
        <f t="shared" si="73"/>
        <v>1640621.394485293</v>
      </c>
      <c r="G1200" s="554">
        <f t="shared" si="74"/>
        <v>364175.96521661332</v>
      </c>
      <c r="H1200" s="555">
        <f t="shared" si="75"/>
        <v>364175.96521661332</v>
      </c>
      <c r="I1200" s="552">
        <f t="shared" si="76"/>
        <v>0</v>
      </c>
      <c r="J1200" s="552"/>
      <c r="K1200" s="572"/>
      <c r="L1200" s="556"/>
      <c r="M1200" s="572"/>
      <c r="N1200" s="556"/>
      <c r="O1200" s="556"/>
    </row>
    <row r="1201" spans="3:15">
      <c r="C1201" s="548">
        <f>IF(D1175="","-",+C1200+1)</f>
        <v>2034</v>
      </c>
      <c r="D1201" s="506">
        <f t="shared" si="72"/>
        <v>1640621.394485293</v>
      </c>
      <c r="E1201" s="549">
        <f t="shared" si="77"/>
        <v>111228.56911764706</v>
      </c>
      <c r="F1201" s="506">
        <f t="shared" si="73"/>
        <v>1529392.8253676458</v>
      </c>
      <c r="G1201" s="554">
        <f t="shared" si="74"/>
        <v>347589.25071832043</v>
      </c>
      <c r="H1201" s="555">
        <f t="shared" si="75"/>
        <v>347589.25071832043</v>
      </c>
      <c r="I1201" s="552">
        <f t="shared" si="76"/>
        <v>0</v>
      </c>
      <c r="J1201" s="552"/>
      <c r="K1201" s="572"/>
      <c r="L1201" s="556"/>
      <c r="M1201" s="572"/>
      <c r="N1201" s="556"/>
      <c r="O1201" s="556"/>
    </row>
    <row r="1202" spans="3:15">
      <c r="C1202" s="548">
        <f>IF(D1175="","-",+C1201+1)</f>
        <v>2035</v>
      </c>
      <c r="D1202" s="506">
        <f t="shared" si="72"/>
        <v>1529392.8253676458</v>
      </c>
      <c r="E1202" s="549">
        <f t="shared" si="77"/>
        <v>111228.56911764706</v>
      </c>
      <c r="F1202" s="506">
        <f t="shared" si="73"/>
        <v>1418164.2562499987</v>
      </c>
      <c r="G1202" s="554">
        <f t="shared" si="74"/>
        <v>331002.53622002754</v>
      </c>
      <c r="H1202" s="555">
        <f t="shared" si="75"/>
        <v>331002.53622002754</v>
      </c>
      <c r="I1202" s="552">
        <f t="shared" si="76"/>
        <v>0</v>
      </c>
      <c r="J1202" s="552"/>
      <c r="K1202" s="572"/>
      <c r="L1202" s="556"/>
      <c r="M1202" s="572"/>
      <c r="N1202" s="556"/>
      <c r="O1202" s="556"/>
    </row>
    <row r="1203" spans="3:15">
      <c r="C1203" s="548">
        <f>IF(D1175="","-",+C1202+1)</f>
        <v>2036</v>
      </c>
      <c r="D1203" s="506">
        <f t="shared" si="72"/>
        <v>1418164.2562499987</v>
      </c>
      <c r="E1203" s="549">
        <f t="shared" si="77"/>
        <v>111228.56911764706</v>
      </c>
      <c r="F1203" s="506">
        <f t="shared" si="73"/>
        <v>1306935.6871323516</v>
      </c>
      <c r="G1203" s="554">
        <f t="shared" si="74"/>
        <v>314415.82172173465</v>
      </c>
      <c r="H1203" s="555">
        <f t="shared" si="75"/>
        <v>314415.82172173465</v>
      </c>
      <c r="I1203" s="552">
        <f t="shared" si="76"/>
        <v>0</v>
      </c>
      <c r="J1203" s="552"/>
      <c r="K1203" s="572"/>
      <c r="L1203" s="556"/>
      <c r="M1203" s="572"/>
      <c r="N1203" s="556"/>
      <c r="O1203" s="556"/>
    </row>
    <row r="1204" spans="3:15">
      <c r="C1204" s="548">
        <f>IF(D1175="","-",+C1203+1)</f>
        <v>2037</v>
      </c>
      <c r="D1204" s="506">
        <f t="shared" si="72"/>
        <v>1306935.6871323516</v>
      </c>
      <c r="E1204" s="549">
        <f t="shared" si="77"/>
        <v>111228.56911764706</v>
      </c>
      <c r="F1204" s="506">
        <f t="shared" si="73"/>
        <v>1195707.1180147044</v>
      </c>
      <c r="G1204" s="554">
        <f t="shared" si="74"/>
        <v>297829.10722344177</v>
      </c>
      <c r="H1204" s="555">
        <f t="shared" si="75"/>
        <v>297829.10722344177</v>
      </c>
      <c r="I1204" s="552">
        <f t="shared" si="76"/>
        <v>0</v>
      </c>
      <c r="J1204" s="552"/>
      <c r="K1204" s="572"/>
      <c r="L1204" s="556"/>
      <c r="M1204" s="572"/>
      <c r="N1204" s="556"/>
      <c r="O1204" s="556"/>
    </row>
    <row r="1205" spans="3:15">
      <c r="C1205" s="548">
        <f>IF(D1175="","-",+C1204+1)</f>
        <v>2038</v>
      </c>
      <c r="D1205" s="506">
        <f t="shared" si="72"/>
        <v>1195707.1180147044</v>
      </c>
      <c r="E1205" s="549">
        <f t="shared" si="77"/>
        <v>111228.56911764706</v>
      </c>
      <c r="F1205" s="506">
        <f t="shared" si="73"/>
        <v>1084478.5488970573</v>
      </c>
      <c r="G1205" s="554">
        <f t="shared" si="74"/>
        <v>281242.39272514888</v>
      </c>
      <c r="H1205" s="555">
        <f t="shared" si="75"/>
        <v>281242.39272514888</v>
      </c>
      <c r="I1205" s="552">
        <f t="shared" si="76"/>
        <v>0</v>
      </c>
      <c r="J1205" s="552"/>
      <c r="K1205" s="572"/>
      <c r="L1205" s="556"/>
      <c r="M1205" s="572"/>
      <c r="N1205" s="556"/>
      <c r="O1205" s="556"/>
    </row>
    <row r="1206" spans="3:15">
      <c r="C1206" s="548">
        <f>IF(D1175="","-",+C1205+1)</f>
        <v>2039</v>
      </c>
      <c r="D1206" s="506">
        <f t="shared" si="72"/>
        <v>1084478.5488970573</v>
      </c>
      <c r="E1206" s="549">
        <f t="shared" si="77"/>
        <v>111228.56911764706</v>
      </c>
      <c r="F1206" s="506">
        <f t="shared" si="73"/>
        <v>973249.97977941029</v>
      </c>
      <c r="G1206" s="554">
        <f t="shared" si="74"/>
        <v>264655.67822685599</v>
      </c>
      <c r="H1206" s="555">
        <f t="shared" si="75"/>
        <v>264655.67822685599</v>
      </c>
      <c r="I1206" s="552">
        <f t="shared" si="76"/>
        <v>0</v>
      </c>
      <c r="J1206" s="552"/>
      <c r="K1206" s="572"/>
      <c r="L1206" s="556"/>
      <c r="M1206" s="572"/>
      <c r="N1206" s="556"/>
      <c r="O1206" s="556"/>
    </row>
    <row r="1207" spans="3:15">
      <c r="C1207" s="548">
        <f>IF(D1175="","-",+C1206+1)</f>
        <v>2040</v>
      </c>
      <c r="D1207" s="506">
        <f t="shared" si="72"/>
        <v>973249.97977941029</v>
      </c>
      <c r="E1207" s="549">
        <f t="shared" si="77"/>
        <v>111228.56911764706</v>
      </c>
      <c r="F1207" s="506">
        <f t="shared" si="73"/>
        <v>862021.41066176328</v>
      </c>
      <c r="G1207" s="554">
        <f t="shared" si="74"/>
        <v>248068.9637285631</v>
      </c>
      <c r="H1207" s="555">
        <f t="shared" si="75"/>
        <v>248068.9637285631</v>
      </c>
      <c r="I1207" s="552">
        <f t="shared" si="76"/>
        <v>0</v>
      </c>
      <c r="J1207" s="552"/>
      <c r="K1207" s="572"/>
      <c r="L1207" s="556"/>
      <c r="M1207" s="572"/>
      <c r="N1207" s="556"/>
      <c r="O1207" s="556"/>
    </row>
    <row r="1208" spans="3:15">
      <c r="C1208" s="548">
        <f>IF(D1175="","-",+C1207+1)</f>
        <v>2041</v>
      </c>
      <c r="D1208" s="506">
        <f t="shared" si="72"/>
        <v>862021.41066176328</v>
      </c>
      <c r="E1208" s="549">
        <f t="shared" si="77"/>
        <v>111228.56911764706</v>
      </c>
      <c r="F1208" s="506">
        <f t="shared" si="73"/>
        <v>750792.84154411627</v>
      </c>
      <c r="G1208" s="554">
        <f t="shared" si="74"/>
        <v>231482.24923027022</v>
      </c>
      <c r="H1208" s="555">
        <f t="shared" si="75"/>
        <v>231482.24923027022</v>
      </c>
      <c r="I1208" s="552">
        <f t="shared" si="76"/>
        <v>0</v>
      </c>
      <c r="J1208" s="552"/>
      <c r="K1208" s="572"/>
      <c r="L1208" s="556"/>
      <c r="M1208" s="572"/>
      <c r="N1208" s="556"/>
      <c r="O1208" s="556"/>
    </row>
    <row r="1209" spans="3:15">
      <c r="C1209" s="548">
        <f>IF(D1175="","-",+C1208+1)</f>
        <v>2042</v>
      </c>
      <c r="D1209" s="506">
        <f t="shared" si="72"/>
        <v>750792.84154411627</v>
      </c>
      <c r="E1209" s="549">
        <f t="shared" si="77"/>
        <v>111228.56911764706</v>
      </c>
      <c r="F1209" s="506">
        <f t="shared" si="73"/>
        <v>639564.27242646925</v>
      </c>
      <c r="G1209" s="550">
        <f t="shared" si="74"/>
        <v>214895.53473197739</v>
      </c>
      <c r="H1209" s="555">
        <f t="shared" si="75"/>
        <v>214895.53473197739</v>
      </c>
      <c r="I1209" s="552">
        <f t="shared" si="76"/>
        <v>0</v>
      </c>
      <c r="J1209" s="552"/>
      <c r="K1209" s="572"/>
      <c r="L1209" s="556"/>
      <c r="M1209" s="572"/>
      <c r="N1209" s="556"/>
      <c r="O1209" s="556"/>
    </row>
    <row r="1210" spans="3:15">
      <c r="C1210" s="548">
        <f>IF(D1175="","-",+C1209+1)</f>
        <v>2043</v>
      </c>
      <c r="D1210" s="506">
        <f t="shared" si="72"/>
        <v>639564.27242646925</v>
      </c>
      <c r="E1210" s="549">
        <f t="shared" si="77"/>
        <v>111228.56911764706</v>
      </c>
      <c r="F1210" s="506">
        <f t="shared" si="73"/>
        <v>528335.70330882224</v>
      </c>
      <c r="G1210" s="554">
        <f t="shared" si="74"/>
        <v>198308.8202336845</v>
      </c>
      <c r="H1210" s="555">
        <f t="shared" si="75"/>
        <v>198308.8202336845</v>
      </c>
      <c r="I1210" s="552">
        <f t="shared" si="76"/>
        <v>0</v>
      </c>
      <c r="J1210" s="552"/>
      <c r="K1210" s="572"/>
      <c r="L1210" s="556"/>
      <c r="M1210" s="572"/>
      <c r="N1210" s="556"/>
      <c r="O1210" s="556"/>
    </row>
    <row r="1211" spans="3:15">
      <c r="C1211" s="548">
        <f>IF(D1175="","-",+C1210+1)</f>
        <v>2044</v>
      </c>
      <c r="D1211" s="506">
        <f t="shared" si="72"/>
        <v>528335.70330882224</v>
      </c>
      <c r="E1211" s="549">
        <f t="shared" si="77"/>
        <v>111228.56911764706</v>
      </c>
      <c r="F1211" s="506">
        <f t="shared" si="73"/>
        <v>417107.13419117517</v>
      </c>
      <c r="G1211" s="554">
        <f t="shared" si="74"/>
        <v>181722.10573539161</v>
      </c>
      <c r="H1211" s="555">
        <f t="shared" si="75"/>
        <v>181722.10573539161</v>
      </c>
      <c r="I1211" s="552">
        <f t="shared" si="76"/>
        <v>0</v>
      </c>
      <c r="J1211" s="552"/>
      <c r="K1211" s="572"/>
      <c r="L1211" s="556"/>
      <c r="M1211" s="572"/>
      <c r="N1211" s="556"/>
      <c r="O1211" s="556"/>
    </row>
    <row r="1212" spans="3:15">
      <c r="C1212" s="548">
        <f>IF(D1175="","-",+C1211+1)</f>
        <v>2045</v>
      </c>
      <c r="D1212" s="506">
        <f t="shared" si="72"/>
        <v>417107.13419117517</v>
      </c>
      <c r="E1212" s="549">
        <f t="shared" si="77"/>
        <v>111228.56911764706</v>
      </c>
      <c r="F1212" s="506">
        <f t="shared" si="73"/>
        <v>305878.56507352809</v>
      </c>
      <c r="G1212" s="554">
        <f t="shared" si="74"/>
        <v>165135.39123709872</v>
      </c>
      <c r="H1212" s="555">
        <f t="shared" si="75"/>
        <v>165135.39123709872</v>
      </c>
      <c r="I1212" s="552">
        <f t="shared" si="76"/>
        <v>0</v>
      </c>
      <c r="J1212" s="552"/>
      <c r="K1212" s="572"/>
      <c r="L1212" s="556"/>
      <c r="M1212" s="572"/>
      <c r="N1212" s="556"/>
      <c r="O1212" s="556"/>
    </row>
    <row r="1213" spans="3:15">
      <c r="C1213" s="548">
        <f>IF(D1175="","-",+C1212+1)</f>
        <v>2046</v>
      </c>
      <c r="D1213" s="506">
        <f t="shared" si="72"/>
        <v>305878.56507352809</v>
      </c>
      <c r="E1213" s="549">
        <f t="shared" si="77"/>
        <v>111228.56911764706</v>
      </c>
      <c r="F1213" s="506">
        <f t="shared" si="73"/>
        <v>194649.99595588102</v>
      </c>
      <c r="G1213" s="554">
        <f t="shared" si="74"/>
        <v>148548.67673880584</v>
      </c>
      <c r="H1213" s="555">
        <f t="shared" si="75"/>
        <v>148548.67673880584</v>
      </c>
      <c r="I1213" s="552">
        <f t="shared" si="76"/>
        <v>0</v>
      </c>
      <c r="J1213" s="552"/>
      <c r="K1213" s="572"/>
      <c r="L1213" s="556"/>
      <c r="M1213" s="572"/>
      <c r="N1213" s="556"/>
      <c r="O1213" s="556"/>
    </row>
    <row r="1214" spans="3:15">
      <c r="C1214" s="548">
        <f>IF(D1175="","-",+C1213+1)</f>
        <v>2047</v>
      </c>
      <c r="D1214" s="506">
        <f t="shared" si="72"/>
        <v>194649.99595588102</v>
      </c>
      <c r="E1214" s="549">
        <f t="shared" si="77"/>
        <v>111228.56911764706</v>
      </c>
      <c r="F1214" s="506">
        <f t="shared" si="73"/>
        <v>83421.426838233965</v>
      </c>
      <c r="G1214" s="554">
        <f t="shared" si="74"/>
        <v>131961.96224051295</v>
      </c>
      <c r="H1214" s="555">
        <f t="shared" si="75"/>
        <v>131961.96224051295</v>
      </c>
      <c r="I1214" s="552">
        <f t="shared" si="76"/>
        <v>0</v>
      </c>
      <c r="J1214" s="552"/>
      <c r="K1214" s="572"/>
      <c r="L1214" s="556"/>
      <c r="M1214" s="572"/>
      <c r="N1214" s="556"/>
      <c r="O1214" s="556"/>
    </row>
    <row r="1215" spans="3:15">
      <c r="C1215" s="548">
        <f>IF(D1175="","-",+C1214+1)</f>
        <v>2048</v>
      </c>
      <c r="D1215" s="506">
        <f t="shared" si="72"/>
        <v>83421.426838233965</v>
      </c>
      <c r="E1215" s="549">
        <f t="shared" si="77"/>
        <v>83421.426838233965</v>
      </c>
      <c r="F1215" s="506">
        <f t="shared" si="73"/>
        <v>0</v>
      </c>
      <c r="G1215" s="554">
        <f t="shared" si="74"/>
        <v>89641.444775093696</v>
      </c>
      <c r="H1215" s="555">
        <f t="shared" si="75"/>
        <v>89641.444775093696</v>
      </c>
      <c r="I1215" s="552">
        <f t="shared" si="76"/>
        <v>0</v>
      </c>
      <c r="J1215" s="552"/>
      <c r="K1215" s="572"/>
      <c r="L1215" s="556"/>
      <c r="M1215" s="572"/>
      <c r="N1215" s="556"/>
      <c r="O1215" s="556"/>
    </row>
    <row r="1216" spans="3:15">
      <c r="C1216" s="548">
        <f>IF(D1175="","-",+C1215+1)</f>
        <v>2049</v>
      </c>
      <c r="D1216" s="506">
        <f t="shared" si="72"/>
        <v>0</v>
      </c>
      <c r="E1216" s="549">
        <f t="shared" si="77"/>
        <v>0</v>
      </c>
      <c r="F1216" s="506">
        <f t="shared" si="73"/>
        <v>0</v>
      </c>
      <c r="G1216" s="554">
        <f t="shared" si="74"/>
        <v>0</v>
      </c>
      <c r="H1216" s="555">
        <f t="shared" si="75"/>
        <v>0</v>
      </c>
      <c r="I1216" s="552">
        <f t="shared" si="76"/>
        <v>0</v>
      </c>
      <c r="J1216" s="552"/>
      <c r="K1216" s="572"/>
      <c r="L1216" s="556"/>
      <c r="M1216" s="572"/>
      <c r="N1216" s="556"/>
      <c r="O1216" s="556"/>
    </row>
    <row r="1217" spans="3:15">
      <c r="C1217" s="548">
        <f>IF(D1175="","-",+C1216+1)</f>
        <v>2050</v>
      </c>
      <c r="D1217" s="506">
        <f t="shared" si="72"/>
        <v>0</v>
      </c>
      <c r="E1217" s="549">
        <f t="shared" si="77"/>
        <v>0</v>
      </c>
      <c r="F1217" s="506">
        <f t="shared" si="73"/>
        <v>0</v>
      </c>
      <c r="G1217" s="554">
        <f t="shared" si="74"/>
        <v>0</v>
      </c>
      <c r="H1217" s="555">
        <f t="shared" si="75"/>
        <v>0</v>
      </c>
      <c r="I1217" s="552">
        <f t="shared" si="76"/>
        <v>0</v>
      </c>
      <c r="J1217" s="552"/>
      <c r="K1217" s="572"/>
      <c r="L1217" s="556"/>
      <c r="M1217" s="572"/>
      <c r="N1217" s="556"/>
      <c r="O1217" s="556"/>
    </row>
    <row r="1218" spans="3:15">
      <c r="C1218" s="548">
        <f>IF(D1175="","-",+C1217+1)</f>
        <v>2051</v>
      </c>
      <c r="D1218" s="506">
        <f t="shared" si="72"/>
        <v>0</v>
      </c>
      <c r="E1218" s="549">
        <f t="shared" si="77"/>
        <v>0</v>
      </c>
      <c r="F1218" s="506">
        <f t="shared" si="73"/>
        <v>0</v>
      </c>
      <c r="G1218" s="554">
        <f t="shared" si="74"/>
        <v>0</v>
      </c>
      <c r="H1218" s="555">
        <f t="shared" si="75"/>
        <v>0</v>
      </c>
      <c r="I1218" s="552">
        <f t="shared" si="76"/>
        <v>0</v>
      </c>
      <c r="J1218" s="552"/>
      <c r="K1218" s="572"/>
      <c r="L1218" s="556"/>
      <c r="M1218" s="572"/>
      <c r="N1218" s="556"/>
      <c r="O1218" s="556"/>
    </row>
    <row r="1219" spans="3:15">
      <c r="C1219" s="548">
        <f>IF(D1175="","-",+C1218+1)</f>
        <v>2052</v>
      </c>
      <c r="D1219" s="506">
        <f t="shared" si="72"/>
        <v>0</v>
      </c>
      <c r="E1219" s="549">
        <f t="shared" si="77"/>
        <v>0</v>
      </c>
      <c r="F1219" s="506">
        <f t="shared" si="73"/>
        <v>0</v>
      </c>
      <c r="G1219" s="554">
        <f t="shared" si="74"/>
        <v>0</v>
      </c>
      <c r="H1219" s="555">
        <f t="shared" si="75"/>
        <v>0</v>
      </c>
      <c r="I1219" s="552">
        <f t="shared" si="76"/>
        <v>0</v>
      </c>
      <c r="J1219" s="552"/>
      <c r="K1219" s="572"/>
      <c r="L1219" s="556"/>
      <c r="M1219" s="572"/>
      <c r="N1219" s="556"/>
      <c r="O1219" s="556"/>
    </row>
    <row r="1220" spans="3:15">
      <c r="C1220" s="548">
        <f>IF(D1175="","-",+C1219+1)</f>
        <v>2053</v>
      </c>
      <c r="D1220" s="506">
        <f t="shared" si="72"/>
        <v>0</v>
      </c>
      <c r="E1220" s="549">
        <f t="shared" si="77"/>
        <v>0</v>
      </c>
      <c r="F1220" s="506">
        <f t="shared" si="73"/>
        <v>0</v>
      </c>
      <c r="G1220" s="554">
        <f t="shared" si="74"/>
        <v>0</v>
      </c>
      <c r="H1220" s="555">
        <f t="shared" si="75"/>
        <v>0</v>
      </c>
      <c r="I1220" s="552">
        <f t="shared" si="76"/>
        <v>0</v>
      </c>
      <c r="J1220" s="552"/>
      <c r="K1220" s="572"/>
      <c r="L1220" s="556"/>
      <c r="M1220" s="572"/>
      <c r="N1220" s="556"/>
      <c r="O1220" s="556"/>
    </row>
    <row r="1221" spans="3:15">
      <c r="C1221" s="548">
        <f>IF(D1175="","-",+C1220+1)</f>
        <v>2054</v>
      </c>
      <c r="D1221" s="506">
        <f t="shared" si="72"/>
        <v>0</v>
      </c>
      <c r="E1221" s="549">
        <f t="shared" si="77"/>
        <v>0</v>
      </c>
      <c r="F1221" s="506">
        <f t="shared" si="73"/>
        <v>0</v>
      </c>
      <c r="G1221" s="554">
        <f t="shared" si="74"/>
        <v>0</v>
      </c>
      <c r="H1221" s="555">
        <f t="shared" si="75"/>
        <v>0</v>
      </c>
      <c r="I1221" s="552">
        <f t="shared" si="76"/>
        <v>0</v>
      </c>
      <c r="J1221" s="552"/>
      <c r="K1221" s="572"/>
      <c r="L1221" s="556"/>
      <c r="M1221" s="572"/>
      <c r="N1221" s="556"/>
      <c r="O1221" s="556"/>
    </row>
    <row r="1222" spans="3:15">
      <c r="C1222" s="548">
        <f>IF(D1175="","-",+C1221+1)</f>
        <v>2055</v>
      </c>
      <c r="D1222" s="506">
        <f t="shared" si="72"/>
        <v>0</v>
      </c>
      <c r="E1222" s="549">
        <f t="shared" si="77"/>
        <v>0</v>
      </c>
      <c r="F1222" s="506">
        <f t="shared" si="73"/>
        <v>0</v>
      </c>
      <c r="G1222" s="554">
        <f t="shared" si="74"/>
        <v>0</v>
      </c>
      <c r="H1222" s="555">
        <f t="shared" si="75"/>
        <v>0</v>
      </c>
      <c r="I1222" s="552">
        <f t="shared" si="76"/>
        <v>0</v>
      </c>
      <c r="J1222" s="552"/>
      <c r="K1222" s="572"/>
      <c r="L1222" s="556"/>
      <c r="M1222" s="572"/>
      <c r="N1222" s="556"/>
      <c r="O1222" s="556"/>
    </row>
    <row r="1223" spans="3:15">
      <c r="C1223" s="548">
        <f>IF(D1175="","-",+C1222+1)</f>
        <v>2056</v>
      </c>
      <c r="D1223" s="506">
        <f t="shared" si="72"/>
        <v>0</v>
      </c>
      <c r="E1223" s="549">
        <f t="shared" si="77"/>
        <v>0</v>
      </c>
      <c r="F1223" s="506">
        <f t="shared" si="73"/>
        <v>0</v>
      </c>
      <c r="G1223" s="554">
        <f t="shared" si="74"/>
        <v>0</v>
      </c>
      <c r="H1223" s="555">
        <f t="shared" si="75"/>
        <v>0</v>
      </c>
      <c r="I1223" s="552">
        <f t="shared" si="76"/>
        <v>0</v>
      </c>
      <c r="J1223" s="552"/>
      <c r="K1223" s="572"/>
      <c r="L1223" s="556"/>
      <c r="M1223" s="572"/>
      <c r="N1223" s="556"/>
      <c r="O1223" s="556"/>
    </row>
    <row r="1224" spans="3:15">
      <c r="C1224" s="548">
        <f>IF(D1175="","-",+C1223+1)</f>
        <v>2057</v>
      </c>
      <c r="D1224" s="506">
        <f t="shared" si="72"/>
        <v>0</v>
      </c>
      <c r="E1224" s="549">
        <f t="shared" si="77"/>
        <v>0</v>
      </c>
      <c r="F1224" s="506">
        <f t="shared" si="73"/>
        <v>0</v>
      </c>
      <c r="G1224" s="554">
        <f t="shared" si="74"/>
        <v>0</v>
      </c>
      <c r="H1224" s="555">
        <f t="shared" si="75"/>
        <v>0</v>
      </c>
      <c r="I1224" s="552">
        <f t="shared" si="76"/>
        <v>0</v>
      </c>
      <c r="J1224" s="552"/>
      <c r="K1224" s="572"/>
      <c r="L1224" s="556"/>
      <c r="M1224" s="572"/>
      <c r="N1224" s="556"/>
      <c r="O1224" s="556"/>
    </row>
    <row r="1225" spans="3:15">
      <c r="C1225" s="548">
        <f>IF(D1175="","-",+C1224+1)</f>
        <v>2058</v>
      </c>
      <c r="D1225" s="506">
        <f t="shared" si="72"/>
        <v>0</v>
      </c>
      <c r="E1225" s="549">
        <f t="shared" si="77"/>
        <v>0</v>
      </c>
      <c r="F1225" s="506">
        <f t="shared" si="73"/>
        <v>0</v>
      </c>
      <c r="G1225" s="554">
        <f t="shared" si="74"/>
        <v>0</v>
      </c>
      <c r="H1225" s="555">
        <f t="shared" si="75"/>
        <v>0</v>
      </c>
      <c r="I1225" s="552">
        <f t="shared" si="76"/>
        <v>0</v>
      </c>
      <c r="J1225" s="552"/>
      <c r="K1225" s="572"/>
      <c r="L1225" s="556"/>
      <c r="M1225" s="572"/>
      <c r="N1225" s="556"/>
      <c r="O1225" s="556"/>
    </row>
    <row r="1226" spans="3:15">
      <c r="C1226" s="548">
        <f>IF(D1175="","-",+C1225+1)</f>
        <v>2059</v>
      </c>
      <c r="D1226" s="506">
        <f t="shared" si="72"/>
        <v>0</v>
      </c>
      <c r="E1226" s="549">
        <f t="shared" si="77"/>
        <v>0</v>
      </c>
      <c r="F1226" s="506">
        <f t="shared" si="73"/>
        <v>0</v>
      </c>
      <c r="G1226" s="554">
        <f t="shared" si="74"/>
        <v>0</v>
      </c>
      <c r="H1226" s="555">
        <f t="shared" si="75"/>
        <v>0</v>
      </c>
      <c r="I1226" s="552">
        <f t="shared" si="76"/>
        <v>0</v>
      </c>
      <c r="J1226" s="552"/>
      <c r="K1226" s="572"/>
      <c r="L1226" s="556"/>
      <c r="M1226" s="572"/>
      <c r="N1226" s="556"/>
      <c r="O1226" s="556"/>
    </row>
    <row r="1227" spans="3:15">
      <c r="C1227" s="548">
        <f>IF(D1175="","-",+C1226+1)</f>
        <v>2060</v>
      </c>
      <c r="D1227" s="506">
        <f t="shared" si="72"/>
        <v>0</v>
      </c>
      <c r="E1227" s="549">
        <f t="shared" si="77"/>
        <v>0</v>
      </c>
      <c r="F1227" s="506">
        <f t="shared" si="73"/>
        <v>0</v>
      </c>
      <c r="G1227" s="554">
        <f t="shared" si="74"/>
        <v>0</v>
      </c>
      <c r="H1227" s="555">
        <f t="shared" si="75"/>
        <v>0</v>
      </c>
      <c r="I1227" s="552">
        <f t="shared" si="76"/>
        <v>0</v>
      </c>
      <c r="J1227" s="552"/>
      <c r="K1227" s="572"/>
      <c r="L1227" s="556"/>
      <c r="M1227" s="572"/>
      <c r="N1227" s="556"/>
      <c r="O1227" s="556"/>
    </row>
    <row r="1228" spans="3:15">
      <c r="C1228" s="548">
        <f>IF(D1175="","-",+C1227+1)</f>
        <v>2061</v>
      </c>
      <c r="D1228" s="506">
        <f t="shared" si="72"/>
        <v>0</v>
      </c>
      <c r="E1228" s="549">
        <f t="shared" si="77"/>
        <v>0</v>
      </c>
      <c r="F1228" s="506">
        <f t="shared" si="73"/>
        <v>0</v>
      </c>
      <c r="G1228" s="554">
        <f t="shared" si="74"/>
        <v>0</v>
      </c>
      <c r="H1228" s="555">
        <f t="shared" si="75"/>
        <v>0</v>
      </c>
      <c r="I1228" s="552">
        <f t="shared" si="76"/>
        <v>0</v>
      </c>
      <c r="J1228" s="552"/>
      <c r="K1228" s="572"/>
      <c r="L1228" s="556"/>
      <c r="M1228" s="572"/>
      <c r="N1228" s="556"/>
      <c r="O1228" s="556"/>
    </row>
    <row r="1229" spans="3:15">
      <c r="C1229" s="548">
        <f>IF(D1175="","-",+C1228+1)</f>
        <v>2062</v>
      </c>
      <c r="D1229" s="506">
        <f t="shared" si="72"/>
        <v>0</v>
      </c>
      <c r="E1229" s="549">
        <f t="shared" si="77"/>
        <v>0</v>
      </c>
      <c r="F1229" s="506">
        <f t="shared" si="73"/>
        <v>0</v>
      </c>
      <c r="G1229" s="554">
        <f t="shared" si="74"/>
        <v>0</v>
      </c>
      <c r="H1229" s="555">
        <f t="shared" si="75"/>
        <v>0</v>
      </c>
      <c r="I1229" s="552">
        <f t="shared" si="76"/>
        <v>0</v>
      </c>
      <c r="J1229" s="552"/>
      <c r="K1229" s="572"/>
      <c r="L1229" s="556"/>
      <c r="M1229" s="572"/>
      <c r="N1229" s="556"/>
      <c r="O1229" s="556"/>
    </row>
    <row r="1230" spans="3:15">
      <c r="C1230" s="548">
        <f>IF(D1175="","-",+C1229+1)</f>
        <v>2063</v>
      </c>
      <c r="D1230" s="506">
        <f t="shared" si="72"/>
        <v>0</v>
      </c>
      <c r="E1230" s="549">
        <f t="shared" si="77"/>
        <v>0</v>
      </c>
      <c r="F1230" s="506">
        <f t="shared" si="73"/>
        <v>0</v>
      </c>
      <c r="G1230" s="554">
        <f t="shared" si="74"/>
        <v>0</v>
      </c>
      <c r="H1230" s="555">
        <f t="shared" si="75"/>
        <v>0</v>
      </c>
      <c r="I1230" s="552">
        <f t="shared" si="76"/>
        <v>0</v>
      </c>
      <c r="J1230" s="552"/>
      <c r="K1230" s="572"/>
      <c r="L1230" s="556"/>
      <c r="M1230" s="572"/>
      <c r="N1230" s="556"/>
      <c r="O1230" s="556"/>
    </row>
    <row r="1231" spans="3:15">
      <c r="C1231" s="548">
        <f>IF(D1175="","-",+C1230+1)</f>
        <v>2064</v>
      </c>
      <c r="D1231" s="506">
        <f t="shared" si="72"/>
        <v>0</v>
      </c>
      <c r="E1231" s="549">
        <f t="shared" si="77"/>
        <v>0</v>
      </c>
      <c r="F1231" s="506">
        <f t="shared" si="73"/>
        <v>0</v>
      </c>
      <c r="G1231" s="554">
        <f t="shared" si="74"/>
        <v>0</v>
      </c>
      <c r="H1231" s="555">
        <f t="shared" si="75"/>
        <v>0</v>
      </c>
      <c r="I1231" s="552">
        <f t="shared" si="76"/>
        <v>0</v>
      </c>
      <c r="J1231" s="552"/>
      <c r="K1231" s="572"/>
      <c r="L1231" s="556"/>
      <c r="M1231" s="572"/>
      <c r="N1231" s="556"/>
      <c r="O1231" s="556"/>
    </row>
    <row r="1232" spans="3:15">
      <c r="C1232" s="548">
        <f>IF(D1175="","-",+C1231+1)</f>
        <v>2065</v>
      </c>
      <c r="D1232" s="506">
        <f t="shared" si="72"/>
        <v>0</v>
      </c>
      <c r="E1232" s="549">
        <f t="shared" si="77"/>
        <v>0</v>
      </c>
      <c r="F1232" s="506">
        <f t="shared" si="73"/>
        <v>0</v>
      </c>
      <c r="G1232" s="554">
        <f t="shared" si="74"/>
        <v>0</v>
      </c>
      <c r="H1232" s="555">
        <f t="shared" si="75"/>
        <v>0</v>
      </c>
      <c r="I1232" s="552">
        <f t="shared" si="76"/>
        <v>0</v>
      </c>
      <c r="J1232" s="552"/>
      <c r="K1232" s="572"/>
      <c r="L1232" s="556"/>
      <c r="M1232" s="572"/>
      <c r="N1232" s="556"/>
      <c r="O1232" s="556"/>
    </row>
    <row r="1233" spans="3:15">
      <c r="C1233" s="548">
        <f>IF(D1175="","-",+C1232+1)</f>
        <v>2066</v>
      </c>
      <c r="D1233" s="506">
        <f t="shared" si="72"/>
        <v>0</v>
      </c>
      <c r="E1233" s="549">
        <f t="shared" si="77"/>
        <v>0</v>
      </c>
      <c r="F1233" s="506">
        <f t="shared" si="73"/>
        <v>0</v>
      </c>
      <c r="G1233" s="554">
        <f t="shared" si="74"/>
        <v>0</v>
      </c>
      <c r="H1233" s="555">
        <f t="shared" si="75"/>
        <v>0</v>
      </c>
      <c r="I1233" s="552">
        <f t="shared" si="76"/>
        <v>0</v>
      </c>
      <c r="J1233" s="552"/>
      <c r="K1233" s="572"/>
      <c r="L1233" s="556"/>
      <c r="M1233" s="572"/>
      <c r="N1233" s="556"/>
      <c r="O1233" s="556"/>
    </row>
    <row r="1234" spans="3:15">
      <c r="C1234" s="548">
        <f>IF(D1175="","-",+C1233+1)</f>
        <v>2067</v>
      </c>
      <c r="D1234" s="506">
        <f t="shared" si="72"/>
        <v>0</v>
      </c>
      <c r="E1234" s="549">
        <f t="shared" si="77"/>
        <v>0</v>
      </c>
      <c r="F1234" s="506">
        <f t="shared" si="73"/>
        <v>0</v>
      </c>
      <c r="G1234" s="554">
        <f t="shared" si="74"/>
        <v>0</v>
      </c>
      <c r="H1234" s="555">
        <f t="shared" si="75"/>
        <v>0</v>
      </c>
      <c r="I1234" s="552">
        <f t="shared" si="76"/>
        <v>0</v>
      </c>
      <c r="J1234" s="552"/>
      <c r="K1234" s="572"/>
      <c r="L1234" s="556"/>
      <c r="M1234" s="572"/>
      <c r="N1234" s="556"/>
      <c r="O1234" s="556"/>
    </row>
    <row r="1235" spans="3:15">
      <c r="C1235" s="548">
        <f>IF(D1175="","-",+C1234+1)</f>
        <v>2068</v>
      </c>
      <c r="D1235" s="506">
        <f t="shared" si="72"/>
        <v>0</v>
      </c>
      <c r="E1235" s="549">
        <f t="shared" si="77"/>
        <v>0</v>
      </c>
      <c r="F1235" s="506">
        <f t="shared" si="73"/>
        <v>0</v>
      </c>
      <c r="G1235" s="554">
        <f t="shared" si="74"/>
        <v>0</v>
      </c>
      <c r="H1235" s="555">
        <f t="shared" si="75"/>
        <v>0</v>
      </c>
      <c r="I1235" s="552">
        <f t="shared" si="76"/>
        <v>0</v>
      </c>
      <c r="J1235" s="552"/>
      <c r="K1235" s="572"/>
      <c r="L1235" s="556"/>
      <c r="M1235" s="572"/>
      <c r="N1235" s="556"/>
      <c r="O1235" s="556"/>
    </row>
    <row r="1236" spans="3:15">
      <c r="C1236" s="548">
        <f>IF(D1175="","-",+C1235+1)</f>
        <v>2069</v>
      </c>
      <c r="D1236" s="506">
        <f t="shared" si="72"/>
        <v>0</v>
      </c>
      <c r="E1236" s="549">
        <f t="shared" si="77"/>
        <v>0</v>
      </c>
      <c r="F1236" s="506">
        <f t="shared" si="73"/>
        <v>0</v>
      </c>
      <c r="G1236" s="554">
        <f t="shared" si="74"/>
        <v>0</v>
      </c>
      <c r="H1236" s="555">
        <f t="shared" si="75"/>
        <v>0</v>
      </c>
      <c r="I1236" s="552">
        <f t="shared" si="76"/>
        <v>0</v>
      </c>
      <c r="J1236" s="552"/>
      <c r="K1236" s="572"/>
      <c r="L1236" s="556"/>
      <c r="M1236" s="572"/>
      <c r="N1236" s="556"/>
      <c r="O1236" s="556"/>
    </row>
    <row r="1237" spans="3:15">
      <c r="C1237" s="548">
        <f>IF(D1175="","-",+C1236+1)</f>
        <v>2070</v>
      </c>
      <c r="D1237" s="506">
        <f t="shared" si="72"/>
        <v>0</v>
      </c>
      <c r="E1237" s="549">
        <f t="shared" si="77"/>
        <v>0</v>
      </c>
      <c r="F1237" s="506">
        <f t="shared" si="73"/>
        <v>0</v>
      </c>
      <c r="G1237" s="554">
        <f t="shared" si="74"/>
        <v>0</v>
      </c>
      <c r="H1237" s="555">
        <f t="shared" si="75"/>
        <v>0</v>
      </c>
      <c r="I1237" s="552">
        <f t="shared" si="76"/>
        <v>0</v>
      </c>
      <c r="J1237" s="552"/>
      <c r="K1237" s="572"/>
      <c r="L1237" s="556"/>
      <c r="M1237" s="572"/>
      <c r="N1237" s="556"/>
      <c r="O1237" s="556"/>
    </row>
    <row r="1238" spans="3:15">
      <c r="C1238" s="548">
        <f>IF(D1175="","-",+C1237+1)</f>
        <v>2071</v>
      </c>
      <c r="D1238" s="506">
        <f t="shared" si="72"/>
        <v>0</v>
      </c>
      <c r="E1238" s="549">
        <f t="shared" si="77"/>
        <v>0</v>
      </c>
      <c r="F1238" s="506">
        <f t="shared" si="73"/>
        <v>0</v>
      </c>
      <c r="G1238" s="554">
        <f t="shared" si="74"/>
        <v>0</v>
      </c>
      <c r="H1238" s="555">
        <f t="shared" si="75"/>
        <v>0</v>
      </c>
      <c r="I1238" s="552">
        <f t="shared" si="76"/>
        <v>0</v>
      </c>
      <c r="J1238" s="552"/>
      <c r="K1238" s="572"/>
      <c r="L1238" s="556"/>
      <c r="M1238" s="572"/>
      <c r="N1238" s="556"/>
      <c r="O1238" s="556"/>
    </row>
    <row r="1239" spans="3:15">
      <c r="C1239" s="548">
        <f>IF(D1175="","-",+C1238+1)</f>
        <v>2072</v>
      </c>
      <c r="D1239" s="506">
        <f t="shared" si="72"/>
        <v>0</v>
      </c>
      <c r="E1239" s="549">
        <f t="shared" si="77"/>
        <v>0</v>
      </c>
      <c r="F1239" s="506">
        <f t="shared" si="73"/>
        <v>0</v>
      </c>
      <c r="G1239" s="554">
        <f t="shared" si="74"/>
        <v>0</v>
      </c>
      <c r="H1239" s="555">
        <f t="shared" si="75"/>
        <v>0</v>
      </c>
      <c r="I1239" s="552">
        <f t="shared" si="76"/>
        <v>0</v>
      </c>
      <c r="J1239" s="552"/>
      <c r="K1239" s="572"/>
      <c r="L1239" s="556"/>
      <c r="M1239" s="572"/>
      <c r="N1239" s="556"/>
      <c r="O1239" s="556"/>
    </row>
    <row r="1240" spans="3:15" ht="13.5" thickBot="1">
      <c r="C1240" s="558">
        <f>IF(D1175="","-",+C1239+1)</f>
        <v>2073</v>
      </c>
      <c r="D1240" s="559">
        <f t="shared" si="72"/>
        <v>0</v>
      </c>
      <c r="E1240" s="560">
        <f t="shared" si="77"/>
        <v>0</v>
      </c>
      <c r="F1240" s="559">
        <f t="shared" si="73"/>
        <v>0</v>
      </c>
      <c r="G1240" s="561">
        <f t="shared" si="74"/>
        <v>0</v>
      </c>
      <c r="H1240" s="561">
        <f t="shared" si="75"/>
        <v>0</v>
      </c>
      <c r="I1240" s="562">
        <f t="shared" si="76"/>
        <v>0</v>
      </c>
      <c r="J1240" s="552"/>
      <c r="K1240" s="573"/>
      <c r="L1240" s="563"/>
      <c r="M1240" s="573"/>
      <c r="N1240" s="563"/>
      <c r="O1240" s="563"/>
    </row>
    <row r="1241" spans="3:15">
      <c r="C1241" s="506" t="s">
        <v>83</v>
      </c>
      <c r="D1241" s="503"/>
      <c r="E1241" s="503">
        <f>SUM(E1181:E1240)</f>
        <v>3781771.35</v>
      </c>
      <c r="F1241" s="503"/>
      <c r="G1241" s="503">
        <f>SUM(G1181:G1240)</f>
        <v>13791853.549719747</v>
      </c>
      <c r="H1241" s="503">
        <f>SUM(H1181:H1240)</f>
        <v>13791853.549719747</v>
      </c>
      <c r="I1241" s="503">
        <f>SUM(I1181:I1240)</f>
        <v>0</v>
      </c>
      <c r="J1241" s="503"/>
      <c r="K1241" s="503"/>
      <c r="L1241" s="503"/>
      <c r="M1241" s="503"/>
      <c r="N1241" s="503"/>
      <c r="O1241" s="3"/>
    </row>
    <row r="1242" spans="3:15">
      <c r="D1242" s="47"/>
      <c r="E1242" s="3"/>
      <c r="F1242" s="3"/>
      <c r="G1242" s="3"/>
      <c r="H1242" s="490"/>
      <c r="I1242" s="490"/>
      <c r="J1242" s="503"/>
      <c r="K1242" s="490"/>
      <c r="L1242" s="490"/>
      <c r="M1242" s="490"/>
      <c r="N1242" s="490"/>
      <c r="O1242" s="3"/>
    </row>
    <row r="1243" spans="3:15">
      <c r="C1243" s="3" t="s">
        <v>13</v>
      </c>
      <c r="D1243" s="47"/>
      <c r="E1243" s="3"/>
      <c r="F1243" s="3"/>
      <c r="G1243" s="3"/>
      <c r="H1243" s="490"/>
      <c r="I1243" s="490"/>
      <c r="J1243" s="503"/>
      <c r="K1243" s="490"/>
      <c r="L1243" s="490"/>
      <c r="M1243" s="490"/>
      <c r="N1243" s="490"/>
      <c r="O1243" s="3"/>
    </row>
    <row r="1244" spans="3:15">
      <c r="C1244" s="3"/>
      <c r="D1244" s="47"/>
      <c r="E1244" s="3"/>
      <c r="F1244" s="3"/>
      <c r="G1244" s="3"/>
      <c r="H1244" s="490"/>
      <c r="I1244" s="490"/>
      <c r="J1244" s="503"/>
      <c r="K1244" s="490"/>
      <c r="L1244" s="490"/>
      <c r="M1244" s="490"/>
      <c r="N1244" s="490"/>
      <c r="O1244" s="3"/>
    </row>
    <row r="1245" spans="3:15">
      <c r="C1245" s="518" t="s">
        <v>14</v>
      </c>
      <c r="D1245" s="506"/>
      <c r="E1245" s="506"/>
      <c r="F1245" s="506"/>
      <c r="G1245" s="503"/>
      <c r="H1245" s="503"/>
      <c r="I1245" s="564"/>
      <c r="J1245" s="564"/>
      <c r="K1245" s="564"/>
      <c r="L1245" s="564"/>
      <c r="M1245" s="564"/>
      <c r="N1245" s="564"/>
      <c r="O1245" s="3"/>
    </row>
    <row r="1246" spans="3:15">
      <c r="C1246" s="507" t="s">
        <v>263</v>
      </c>
      <c r="D1246" s="506"/>
      <c r="E1246" s="506"/>
      <c r="F1246" s="506"/>
      <c r="G1246" s="503"/>
      <c r="H1246" s="503"/>
      <c r="I1246" s="564"/>
      <c r="J1246" s="564"/>
      <c r="K1246" s="564"/>
      <c r="L1246" s="564"/>
      <c r="M1246" s="564"/>
      <c r="N1246" s="564"/>
      <c r="O1246" s="3"/>
    </row>
    <row r="1247" spans="3:15">
      <c r="C1247" s="507" t="s">
        <v>84</v>
      </c>
      <c r="D1247" s="506"/>
      <c r="E1247" s="506"/>
      <c r="F1247" s="506"/>
      <c r="G1247" s="503"/>
      <c r="H1247" s="503"/>
      <c r="I1247" s="564"/>
      <c r="J1247" s="564"/>
      <c r="K1247" s="564"/>
      <c r="L1247" s="564"/>
      <c r="M1247" s="564"/>
      <c r="N1247" s="564"/>
      <c r="O1247" s="3"/>
    </row>
    <row r="1248" spans="3:15">
      <c r="C1248" s="507"/>
      <c r="D1248" s="506"/>
      <c r="E1248" s="506"/>
      <c r="F1248" s="506"/>
      <c r="G1248" s="503"/>
      <c r="H1248" s="503"/>
      <c r="I1248" s="564"/>
      <c r="J1248" s="564"/>
      <c r="K1248" s="564"/>
      <c r="L1248" s="564"/>
      <c r="M1248" s="564"/>
      <c r="N1248" s="564"/>
      <c r="O1248" s="3"/>
    </row>
    <row r="1249" spans="1:16">
      <c r="C1249" s="1200" t="s">
        <v>6</v>
      </c>
      <c r="D1249" s="1200"/>
      <c r="E1249" s="1200"/>
      <c r="F1249" s="1200"/>
      <c r="G1249" s="1200"/>
      <c r="H1249" s="1200"/>
      <c r="I1249" s="1200"/>
      <c r="J1249" s="1200"/>
      <c r="K1249" s="1200"/>
      <c r="L1249" s="1200"/>
      <c r="M1249" s="1200"/>
      <c r="N1249" s="1200"/>
      <c r="O1249" s="1200"/>
    </row>
    <row r="1250" spans="1:16">
      <c r="C1250" s="1200"/>
      <c r="D1250" s="1200"/>
      <c r="E1250" s="1200"/>
      <c r="F1250" s="1200"/>
      <c r="G1250" s="1200"/>
      <c r="H1250" s="1200"/>
      <c r="I1250" s="1200"/>
      <c r="J1250" s="1200"/>
      <c r="K1250" s="1200"/>
      <c r="L1250" s="1200"/>
      <c r="M1250" s="1200"/>
      <c r="N1250" s="1200"/>
      <c r="O1250" s="1200"/>
    </row>
    <row r="1251" spans="1:16">
      <c r="C1251" s="507"/>
      <c r="D1251" s="506"/>
      <c r="E1251" s="506"/>
      <c r="F1251" s="506"/>
      <c r="G1251" s="503"/>
      <c r="H1251" s="503"/>
    </row>
    <row r="1252" spans="1:16" ht="20.25">
      <c r="A1252" s="447" t="str">
        <f>""&amp;A1176&amp;" Worksheet J -  ATRR PROJECTED Calculation for PJM Projects Charged to Benefiting Zones"</f>
        <v xml:space="preserve"> Worksheet J -  ATRR PROJECTED Calculation for PJM Projects Charged to Benefiting Zones</v>
      </c>
      <c r="B1252" s="3"/>
      <c r="C1252" s="3"/>
      <c r="D1252" s="47"/>
      <c r="E1252" s="3"/>
      <c r="F1252" s="489"/>
      <c r="G1252" s="3"/>
      <c r="H1252" s="490"/>
      <c r="K1252" s="398"/>
      <c r="L1252" s="398"/>
      <c r="M1252" s="398"/>
      <c r="N1252" s="398" t="str">
        <f>"Page "&amp;SUM(P$8:P1252)&amp;" of "</f>
        <v xml:space="preserve">Page 15 of </v>
      </c>
      <c r="O1252" s="448">
        <f>COUNT(P$8:P$56653)</f>
        <v>23</v>
      </c>
      <c r="P1252">
        <v>1</v>
      </c>
    </row>
    <row r="1253" spans="1:16">
      <c r="B1253" s="3"/>
      <c r="C1253" s="3"/>
      <c r="D1253" s="47"/>
      <c r="E1253" s="3"/>
      <c r="F1253" s="3"/>
      <c r="G1253" s="3"/>
      <c r="H1253" s="490"/>
      <c r="I1253" s="3"/>
      <c r="J1253" s="3"/>
      <c r="K1253" s="3"/>
      <c r="L1253" s="3"/>
      <c r="M1253" s="3"/>
      <c r="N1253" s="3"/>
      <c r="O1253" s="3"/>
    </row>
    <row r="1254" spans="1:16" ht="18">
      <c r="B1254" s="449" t="s">
        <v>464</v>
      </c>
      <c r="C1254" s="122" t="s">
        <v>85</v>
      </c>
      <c r="D1254" s="47"/>
      <c r="E1254" s="3"/>
      <c r="F1254" s="3"/>
      <c r="G1254" s="3"/>
      <c r="H1254" s="490"/>
      <c r="I1254" s="490"/>
      <c r="J1254" s="503"/>
      <c r="K1254" s="490"/>
      <c r="L1254" s="490"/>
      <c r="M1254" s="490"/>
      <c r="N1254" s="490"/>
      <c r="O1254" s="3"/>
    </row>
    <row r="1255" spans="1:16" ht="18.75">
      <c r="B1255" s="449"/>
      <c r="C1255" s="6"/>
      <c r="D1255" s="47"/>
      <c r="E1255" s="3"/>
      <c r="F1255" s="3"/>
      <c r="G1255" s="3"/>
      <c r="H1255" s="490"/>
      <c r="I1255" s="490"/>
      <c r="J1255" s="503"/>
      <c r="K1255" s="490"/>
      <c r="L1255" s="490"/>
      <c r="M1255" s="490"/>
      <c r="N1255" s="490"/>
      <c r="O1255" s="3"/>
    </row>
    <row r="1256" spans="1:16" ht="18.75">
      <c r="B1256" s="449"/>
      <c r="C1256" s="6" t="s">
        <v>86</v>
      </c>
      <c r="D1256" s="47"/>
      <c r="E1256" s="3"/>
      <c r="F1256" s="3"/>
      <c r="G1256" s="3"/>
      <c r="H1256" s="490"/>
      <c r="I1256" s="490"/>
      <c r="J1256" s="503"/>
      <c r="K1256" s="490"/>
      <c r="L1256" s="490"/>
      <c r="M1256" s="490"/>
      <c r="N1256" s="490"/>
      <c r="O1256" s="3"/>
    </row>
    <row r="1257" spans="1:16" ht="15.75" thickBot="1">
      <c r="C1257" s="131"/>
      <c r="D1257" s="47"/>
      <c r="E1257" s="3"/>
      <c r="F1257" s="3"/>
      <c r="G1257" s="3"/>
      <c r="H1257" s="490"/>
      <c r="I1257" s="490"/>
      <c r="J1257" s="503"/>
      <c r="K1257" s="490"/>
      <c r="L1257" s="490"/>
      <c r="M1257" s="490"/>
      <c r="N1257" s="490"/>
      <c r="O1257" s="3"/>
    </row>
    <row r="1258" spans="1:16" ht="15.75">
      <c r="C1258" s="451" t="s">
        <v>87</v>
      </c>
      <c r="D1258" s="47"/>
      <c r="E1258" s="3"/>
      <c r="F1258" s="3"/>
      <c r="G1258" s="566"/>
      <c r="H1258" s="3" t="s">
        <v>66</v>
      </c>
      <c r="I1258" s="3"/>
      <c r="J1258" s="3"/>
      <c r="K1258" s="509" t="s">
        <v>91</v>
      </c>
      <c r="L1258" s="510"/>
      <c r="M1258" s="511"/>
      <c r="N1258" s="512">
        <f>IF(I1264=0,0,VLOOKUP(I1264,C1271:O1330,5))</f>
        <v>3682340.3104313309</v>
      </c>
      <c r="O1258" s="3"/>
    </row>
    <row r="1259" spans="1:16" ht="15.75">
      <c r="C1259" s="451"/>
      <c r="D1259" s="47"/>
      <c r="E1259" s="3"/>
      <c r="F1259" s="3"/>
      <c r="G1259" s="3"/>
      <c r="H1259" s="513"/>
      <c r="I1259" s="513"/>
      <c r="J1259" s="514"/>
      <c r="K1259" s="515" t="s">
        <v>92</v>
      </c>
      <c r="L1259" s="516"/>
      <c r="M1259" s="3"/>
      <c r="N1259" s="517">
        <f>IF(I1264=0,0,VLOOKUP(I1264,C1271:O1330,6))</f>
        <v>3682340.3104313309</v>
      </c>
      <c r="O1259" s="3"/>
    </row>
    <row r="1260" spans="1:16" ht="13.5" customHeight="1" thickBot="1">
      <c r="C1260" s="518" t="s">
        <v>88</v>
      </c>
      <c r="D1260" s="1194" t="s">
        <v>817</v>
      </c>
      <c r="E1260" s="1194"/>
      <c r="F1260" s="1194"/>
      <c r="G1260" s="1194"/>
      <c r="H1260" s="1194"/>
      <c r="I1260" s="1194"/>
      <c r="J1260" s="503"/>
      <c r="K1260" s="519" t="s">
        <v>230</v>
      </c>
      <c r="L1260" s="520"/>
      <c r="M1260" s="520"/>
      <c r="N1260" s="521">
        <f>+N1259-N1258</f>
        <v>0</v>
      </c>
      <c r="O1260" s="3"/>
    </row>
    <row r="1261" spans="1:16">
      <c r="C1261" s="522"/>
      <c r="D1261" s="1194"/>
      <c r="E1261" s="1194"/>
      <c r="F1261" s="1194"/>
      <c r="G1261" s="1194"/>
      <c r="H1261" s="1194"/>
      <c r="I1261" s="1194"/>
      <c r="J1261" s="503"/>
      <c r="K1261" s="490"/>
      <c r="L1261" s="490"/>
      <c r="M1261" s="490"/>
      <c r="N1261" s="490"/>
      <c r="O1261" s="3"/>
    </row>
    <row r="1262" spans="1:16" ht="13.5" thickBot="1">
      <c r="C1262" s="522"/>
      <c r="D1262" s="3"/>
      <c r="E1262" s="524"/>
      <c r="F1262" s="524"/>
      <c r="G1262" s="524"/>
      <c r="H1262" s="524"/>
      <c r="I1262" s="524"/>
      <c r="J1262" s="524"/>
      <c r="K1262" s="524"/>
      <c r="L1262" s="524"/>
      <c r="M1262" s="524"/>
      <c r="N1262" s="524"/>
      <c r="O1262" s="3"/>
    </row>
    <row r="1263" spans="1:16" ht="13.5" thickBot="1">
      <c r="C1263" s="525" t="s">
        <v>89</v>
      </c>
      <c r="D1263" s="526"/>
      <c r="E1263" s="526"/>
      <c r="F1263" s="526"/>
      <c r="G1263" s="526"/>
      <c r="H1263" s="526"/>
      <c r="I1263" s="527"/>
      <c r="K1263" s="3"/>
      <c r="L1263" s="3"/>
      <c r="M1263" s="3"/>
      <c r="N1263" s="3"/>
      <c r="O1263" s="3"/>
    </row>
    <row r="1264" spans="1:16" ht="15">
      <c r="C1264" s="528" t="s">
        <v>67</v>
      </c>
      <c r="D1264" s="568">
        <v>27342437.460000001</v>
      </c>
      <c r="E1264" s="3" t="s">
        <v>68</v>
      </c>
      <c r="G1264" s="47"/>
      <c r="H1264" s="47"/>
      <c r="I1264" s="529">
        <f>$L$26</f>
        <v>2026</v>
      </c>
      <c r="J1264" s="70"/>
      <c r="K1264" s="1193" t="s">
        <v>239</v>
      </c>
      <c r="L1264" s="1193"/>
      <c r="M1264" s="1193"/>
      <c r="N1264" s="1193"/>
      <c r="O1264" s="1193"/>
    </row>
    <row r="1265" spans="2:15">
      <c r="C1265" s="528" t="s">
        <v>70</v>
      </c>
      <c r="D1265" s="569">
        <v>2016</v>
      </c>
      <c r="E1265" s="528" t="s">
        <v>71</v>
      </c>
      <c r="F1265" s="47"/>
      <c r="H1265"/>
      <c r="I1265" s="570">
        <f>IF(G1258="",0,$F$17)</f>
        <v>0</v>
      </c>
      <c r="J1265" s="530"/>
      <c r="K1265" s="503" t="s">
        <v>239</v>
      </c>
    </row>
    <row r="1266" spans="2:15">
      <c r="C1266" s="528" t="s">
        <v>72</v>
      </c>
      <c r="D1266" s="568">
        <v>6</v>
      </c>
      <c r="E1266" s="528" t="s">
        <v>73</v>
      </c>
      <c r="F1266" s="47"/>
      <c r="H1266"/>
      <c r="I1266" s="531">
        <f>$G$70</f>
        <v>0.14912278949438812</v>
      </c>
      <c r="J1266" s="489"/>
      <c r="K1266" t="str">
        <f>"          INPUT PROJECTED ARR (WITH &amp; WITHOUT INCENTIVES) FROM EACH PRIOR YEAR"</f>
        <v xml:space="preserve">          INPUT PROJECTED ARR (WITH &amp; WITHOUT INCENTIVES) FROM EACH PRIOR YEAR</v>
      </c>
    </row>
    <row r="1267" spans="2:15">
      <c r="C1267" s="528" t="s">
        <v>74</v>
      </c>
      <c r="D1267" s="532">
        <f>$G$79</f>
        <v>34</v>
      </c>
      <c r="E1267" s="528" t="s">
        <v>75</v>
      </c>
      <c r="F1267" s="47"/>
      <c r="H1267"/>
      <c r="I1267" s="531">
        <f>IF(G1258="",I1266,$G$69)</f>
        <v>0.14912278949438812</v>
      </c>
      <c r="J1267" s="489"/>
      <c r="K1267" t="s">
        <v>152</v>
      </c>
    </row>
    <row r="1268" spans="2:15" ht="13.5" thickBot="1">
      <c r="C1268" s="528" t="s">
        <v>76</v>
      </c>
      <c r="D1268" s="567" t="s">
        <v>802</v>
      </c>
      <c r="E1268" s="533" t="s">
        <v>77</v>
      </c>
      <c r="F1268" s="534"/>
      <c r="G1268" s="535"/>
      <c r="H1268" s="535"/>
      <c r="I1268" s="521">
        <f>IF(D1264=0,0,D1264/D1267)</f>
        <v>804189.33705882356</v>
      </c>
      <c r="J1268" s="503"/>
      <c r="K1268" s="503" t="s">
        <v>158</v>
      </c>
      <c r="L1268" s="503"/>
      <c r="M1268" s="503"/>
      <c r="N1268" s="503"/>
      <c r="O1268" s="3"/>
    </row>
    <row r="1269" spans="2:15" ht="38.25">
      <c r="B1269" s="450"/>
      <c r="C1269" s="536" t="s">
        <v>67</v>
      </c>
      <c r="D1269" s="537" t="s">
        <v>78</v>
      </c>
      <c r="E1269" s="538" t="s">
        <v>79</v>
      </c>
      <c r="F1269" s="537" t="s">
        <v>80</v>
      </c>
      <c r="G1269" s="538" t="s">
        <v>151</v>
      </c>
      <c r="H1269" s="539" t="s">
        <v>151</v>
      </c>
      <c r="I1269" s="536" t="s">
        <v>90</v>
      </c>
      <c r="J1269" s="540"/>
      <c r="K1269" s="538" t="s">
        <v>160</v>
      </c>
      <c r="L1269" s="541"/>
      <c r="M1269" s="538" t="s">
        <v>160</v>
      </c>
      <c r="N1269" s="541"/>
      <c r="O1269" s="541"/>
    </row>
    <row r="1270" spans="2:15" ht="13.5" thickBot="1">
      <c r="C1270" s="542" t="s">
        <v>467</v>
      </c>
      <c r="D1270" s="543" t="s">
        <v>468</v>
      </c>
      <c r="E1270" s="542" t="s">
        <v>361</v>
      </c>
      <c r="F1270" s="543" t="s">
        <v>468</v>
      </c>
      <c r="G1270" s="544" t="s">
        <v>93</v>
      </c>
      <c r="H1270" s="545" t="s">
        <v>95</v>
      </c>
      <c r="I1270" s="542" t="s">
        <v>15</v>
      </c>
      <c r="J1270" s="546"/>
      <c r="K1270" s="544" t="s">
        <v>82</v>
      </c>
      <c r="L1270" s="547"/>
      <c r="M1270" s="544" t="s">
        <v>95</v>
      </c>
      <c r="N1270" s="547"/>
      <c r="O1270" s="547"/>
    </row>
    <row r="1271" spans="2:15">
      <c r="C1271" s="548">
        <f>IF(D1265= "","-",D1265)</f>
        <v>2016</v>
      </c>
      <c r="D1271" s="506">
        <f>+D1264</f>
        <v>27342437.460000001</v>
      </c>
      <c r="E1271" s="549">
        <f>+I1268/12*(12-D1266)</f>
        <v>402094.66852941178</v>
      </c>
      <c r="F1271" s="506">
        <f>+D1271-E1271</f>
        <v>26940342.791470587</v>
      </c>
      <c r="G1271" s="723">
        <f>+$I$96*((D1271+F1271)/2)+E1271</f>
        <v>4449494.4748344999</v>
      </c>
      <c r="H1271" s="724">
        <f>$I$97*((D1271+F1271)/2)+E1271</f>
        <v>4449494.4748344999</v>
      </c>
      <c r="I1271" s="552">
        <f>+H1271-G1271</f>
        <v>0</v>
      </c>
      <c r="J1271" s="552"/>
      <c r="K1271" s="571">
        <v>1957261</v>
      </c>
      <c r="L1271" s="553"/>
      <c r="M1271" s="571">
        <v>1957261</v>
      </c>
      <c r="N1271" s="553"/>
      <c r="O1271" s="553"/>
    </row>
    <row r="1272" spans="2:15">
      <c r="C1272" s="548">
        <f>IF(D1265="","-",+C1271+1)</f>
        <v>2017</v>
      </c>
      <c r="D1272" s="506">
        <f t="shared" ref="D1272:D1330" si="78">F1271</f>
        <v>26940342.791470587</v>
      </c>
      <c r="E1272" s="549">
        <f>IF(D1272&gt;$I$1268,$I$1268,D1272)</f>
        <v>804189.33705882356</v>
      </c>
      <c r="F1272" s="506">
        <f t="shared" ref="F1272:F1330" si="79">+D1272-E1272</f>
        <v>26136153.454411764</v>
      </c>
      <c r="G1272" s="554">
        <f t="shared" ref="G1272:G1330" si="80">+$I$96*((D1272+F1272)/2)+E1272</f>
        <v>4761646.9254460204</v>
      </c>
      <c r="H1272" s="555">
        <f t="shared" ref="H1272:H1330" si="81">$I$97*((D1272+F1272)/2)+E1272</f>
        <v>4761646.9254460204</v>
      </c>
      <c r="I1272" s="552">
        <f t="shared" ref="I1272:I1330" si="82">+H1272-G1272</f>
        <v>0</v>
      </c>
      <c r="J1272" s="552"/>
      <c r="K1272" s="572">
        <v>582397</v>
      </c>
      <c r="L1272" s="556"/>
      <c r="M1272" s="572">
        <v>582397</v>
      </c>
      <c r="N1272" s="556"/>
      <c r="O1272" s="556"/>
    </row>
    <row r="1273" spans="2:15">
      <c r="C1273" s="974">
        <f>IF(D1265="","-",+C1272+1)</f>
        <v>2018</v>
      </c>
      <c r="D1273" s="506">
        <f t="shared" si="78"/>
        <v>26136153.454411764</v>
      </c>
      <c r="E1273" s="549">
        <f t="shared" ref="E1273:E1330" si="83">IF(D1273&gt;$I$1268,$I$1268,D1273)</f>
        <v>804189.33705882356</v>
      </c>
      <c r="F1273" s="506">
        <f t="shared" si="79"/>
        <v>25331964.11735294</v>
      </c>
      <c r="G1273" s="554">
        <f t="shared" si="80"/>
        <v>4641723.9682221673</v>
      </c>
      <c r="H1273" s="555">
        <f t="shared" si="81"/>
        <v>4641723.9682221673</v>
      </c>
      <c r="I1273" s="552">
        <f t="shared" si="82"/>
        <v>0</v>
      </c>
      <c r="J1273" s="552"/>
      <c r="K1273" s="572">
        <v>4098498</v>
      </c>
      <c r="L1273" s="556"/>
      <c r="M1273" s="572">
        <v>4098498</v>
      </c>
      <c r="N1273" s="556"/>
      <c r="O1273" s="556"/>
    </row>
    <row r="1274" spans="2:15">
      <c r="C1274" s="974">
        <f>IF(D1265="","-",+C1273+1)</f>
        <v>2019</v>
      </c>
      <c r="D1274" s="506">
        <f t="shared" si="78"/>
        <v>25331964.11735294</v>
      </c>
      <c r="E1274" s="549">
        <f t="shared" si="83"/>
        <v>804189.33705882356</v>
      </c>
      <c r="F1274" s="506">
        <f t="shared" si="79"/>
        <v>24527774.780294117</v>
      </c>
      <c r="G1274" s="554">
        <f t="shared" si="80"/>
        <v>4521801.0109983124</v>
      </c>
      <c r="H1274" s="555">
        <f t="shared" si="81"/>
        <v>4521801.0109983124</v>
      </c>
      <c r="I1274" s="552">
        <f t="shared" si="82"/>
        <v>0</v>
      </c>
      <c r="J1274" s="552"/>
      <c r="K1274" s="572">
        <v>4209863.1789752766</v>
      </c>
      <c r="L1274" s="556"/>
      <c r="M1274" s="572">
        <v>4209863.1789752766</v>
      </c>
      <c r="N1274" s="556"/>
      <c r="O1274" s="556"/>
    </row>
    <row r="1275" spans="2:15">
      <c r="C1275" s="974">
        <f>IF(D1265="","-",+C1274+1)</f>
        <v>2020</v>
      </c>
      <c r="D1275" s="506">
        <f t="shared" si="78"/>
        <v>24527774.780294117</v>
      </c>
      <c r="E1275" s="549">
        <f t="shared" si="83"/>
        <v>804189.33705882356</v>
      </c>
      <c r="F1275" s="506">
        <f t="shared" si="79"/>
        <v>23723585.443235293</v>
      </c>
      <c r="G1275" s="554">
        <f t="shared" si="80"/>
        <v>4401878.0537744574</v>
      </c>
      <c r="H1275" s="555">
        <f t="shared" si="81"/>
        <v>4401878.0537744574</v>
      </c>
      <c r="I1275" s="552">
        <f t="shared" si="82"/>
        <v>0</v>
      </c>
      <c r="J1275" s="552"/>
      <c r="K1275" s="572">
        <v>4424103.2123191142</v>
      </c>
      <c r="L1275" s="556"/>
      <c r="M1275" s="572">
        <v>4424103.2123191142</v>
      </c>
      <c r="N1275" s="556"/>
      <c r="O1275" s="556"/>
    </row>
    <row r="1276" spans="2:15">
      <c r="C1276" s="974">
        <f>IF(D1265="","-",+C1275+1)</f>
        <v>2021</v>
      </c>
      <c r="D1276" s="506">
        <f t="shared" si="78"/>
        <v>23723585.443235293</v>
      </c>
      <c r="E1276" s="549">
        <f t="shared" si="83"/>
        <v>804189.33705882356</v>
      </c>
      <c r="F1276" s="506">
        <f t="shared" si="79"/>
        <v>22919396.106176469</v>
      </c>
      <c r="G1276" s="554">
        <f t="shared" si="80"/>
        <v>4281955.0965506025</v>
      </c>
      <c r="H1276" s="555">
        <f t="shared" si="81"/>
        <v>4281955.0965506025</v>
      </c>
      <c r="I1276" s="552">
        <f t="shared" si="82"/>
        <v>0</v>
      </c>
      <c r="J1276" s="552"/>
      <c r="K1276" s="572">
        <v>4212213.620028303</v>
      </c>
      <c r="L1276" s="556"/>
      <c r="M1276" s="572">
        <v>4212213.620028303</v>
      </c>
      <c r="N1276" s="556"/>
      <c r="O1276" s="556"/>
    </row>
    <row r="1277" spans="2:15">
      <c r="C1277" s="974">
        <f>IF(D1265="","-",+C1276+1)</f>
        <v>2022</v>
      </c>
      <c r="D1277" s="506">
        <f t="shared" si="78"/>
        <v>22919396.106176469</v>
      </c>
      <c r="E1277" s="549">
        <f t="shared" si="83"/>
        <v>804189.33705882356</v>
      </c>
      <c r="F1277" s="506">
        <f t="shared" si="79"/>
        <v>22115206.769117646</v>
      </c>
      <c r="G1277" s="554">
        <f t="shared" si="80"/>
        <v>4162032.1393267489</v>
      </c>
      <c r="H1277" s="555">
        <f t="shared" si="81"/>
        <v>4162032.1393267489</v>
      </c>
      <c r="I1277" s="552">
        <f t="shared" si="82"/>
        <v>0</v>
      </c>
      <c r="J1277" s="552"/>
      <c r="K1277" s="572">
        <v>4215783.0745712621</v>
      </c>
      <c r="L1277" s="556"/>
      <c r="M1277" s="572">
        <v>4215783.0745712621</v>
      </c>
      <c r="N1277" s="556"/>
      <c r="O1277" s="556"/>
    </row>
    <row r="1278" spans="2:15">
      <c r="C1278" s="974">
        <f>IF(D1265="","-",+C1277+1)</f>
        <v>2023</v>
      </c>
      <c r="D1278" s="506">
        <f t="shared" si="78"/>
        <v>22115206.769117646</v>
      </c>
      <c r="E1278" s="549">
        <f t="shared" si="83"/>
        <v>804189.33705882356</v>
      </c>
      <c r="F1278" s="506">
        <f t="shared" si="79"/>
        <v>21311017.432058822</v>
      </c>
      <c r="G1278" s="554">
        <f t="shared" si="80"/>
        <v>4042109.1821028939</v>
      </c>
      <c r="H1278" s="555">
        <f t="shared" si="81"/>
        <v>4042109.1821028939</v>
      </c>
      <c r="I1278" s="552">
        <f t="shared" si="82"/>
        <v>0</v>
      </c>
      <c r="J1278" s="552"/>
      <c r="K1278" s="572">
        <v>4118560.2968732691</v>
      </c>
      <c r="L1278" s="556"/>
      <c r="M1278" s="572">
        <v>4118560.2968732691</v>
      </c>
      <c r="N1278" s="556"/>
      <c r="O1278" s="556"/>
    </row>
    <row r="1279" spans="2:15">
      <c r="C1279" s="548">
        <f>IF(D1265="","-",+C1278+1)</f>
        <v>2024</v>
      </c>
      <c r="D1279" s="506">
        <f t="shared" si="78"/>
        <v>21311017.432058822</v>
      </c>
      <c r="E1279" s="549">
        <f t="shared" si="83"/>
        <v>804189.33705882356</v>
      </c>
      <c r="F1279" s="506">
        <f t="shared" si="79"/>
        <v>20506828.094999999</v>
      </c>
      <c r="G1279" s="554">
        <f t="shared" si="80"/>
        <v>3922186.2248790399</v>
      </c>
      <c r="H1279" s="555">
        <f t="shared" si="81"/>
        <v>3922186.2248790399</v>
      </c>
      <c r="I1279" s="552">
        <f t="shared" si="82"/>
        <v>0</v>
      </c>
      <c r="J1279" s="552"/>
      <c r="K1279" s="572">
        <v>3937812.7529185363</v>
      </c>
      <c r="L1279" s="556"/>
      <c r="M1279" s="572">
        <v>3937812.7529185363</v>
      </c>
      <c r="N1279" s="556"/>
      <c r="O1279" s="556"/>
    </row>
    <row r="1280" spans="2:15">
      <c r="C1280" s="548">
        <f>IF(D1265="","-",+C1279+1)</f>
        <v>2025</v>
      </c>
      <c r="D1280" s="506">
        <f t="shared" si="78"/>
        <v>20506828.094999999</v>
      </c>
      <c r="E1280" s="549">
        <f t="shared" si="83"/>
        <v>804189.33705882356</v>
      </c>
      <c r="F1280" s="506">
        <f t="shared" si="79"/>
        <v>19702638.757941175</v>
      </c>
      <c r="G1280" s="554">
        <f t="shared" si="80"/>
        <v>3802263.267655185</v>
      </c>
      <c r="H1280" s="555">
        <f t="shared" si="81"/>
        <v>3802263.267655185</v>
      </c>
      <c r="I1280" s="552">
        <f t="shared" si="82"/>
        <v>0</v>
      </c>
      <c r="J1280" s="552"/>
      <c r="K1280" s="572">
        <v>3809429.0902764709</v>
      </c>
      <c r="L1280" s="556"/>
      <c r="M1280" s="572">
        <v>3809429.0902764709</v>
      </c>
      <c r="N1280" s="556"/>
      <c r="O1280" s="556"/>
    </row>
    <row r="1281" spans="3:15">
      <c r="C1281" s="955">
        <f>IF(D1265="","-",+C1280+1)</f>
        <v>2026</v>
      </c>
      <c r="D1281" s="506">
        <f t="shared" si="78"/>
        <v>19702638.757941175</v>
      </c>
      <c r="E1281" s="549">
        <f t="shared" si="83"/>
        <v>804189.33705882356</v>
      </c>
      <c r="F1281" s="506">
        <f t="shared" si="79"/>
        <v>18898449.420882352</v>
      </c>
      <c r="G1281" s="554">
        <f t="shared" si="80"/>
        <v>3682340.3104313309</v>
      </c>
      <c r="H1281" s="555">
        <f t="shared" si="81"/>
        <v>3682340.3104313309</v>
      </c>
      <c r="I1281" s="552">
        <f t="shared" si="82"/>
        <v>0</v>
      </c>
      <c r="J1281" s="552"/>
      <c r="K1281" s="572"/>
      <c r="L1281" s="556"/>
      <c r="M1281" s="572"/>
      <c r="N1281" s="556"/>
      <c r="O1281" s="556"/>
    </row>
    <row r="1282" spans="3:15">
      <c r="C1282" s="548">
        <f>IF(D1265="","-",+C1281+1)</f>
        <v>2027</v>
      </c>
      <c r="D1282" s="506">
        <f t="shared" si="78"/>
        <v>18898449.420882352</v>
      </c>
      <c r="E1282" s="549">
        <f t="shared" si="83"/>
        <v>804189.33705882356</v>
      </c>
      <c r="F1282" s="506">
        <f t="shared" si="79"/>
        <v>18094260.083823528</v>
      </c>
      <c r="G1282" s="554">
        <f t="shared" si="80"/>
        <v>3562417.353207476</v>
      </c>
      <c r="H1282" s="555">
        <f t="shared" si="81"/>
        <v>3562417.353207476</v>
      </c>
      <c r="I1282" s="552">
        <f t="shared" si="82"/>
        <v>0</v>
      </c>
      <c r="J1282" s="552"/>
      <c r="K1282" s="572"/>
      <c r="L1282" s="556"/>
      <c r="M1282" s="572"/>
      <c r="N1282" s="556"/>
      <c r="O1282" s="556"/>
    </row>
    <row r="1283" spans="3:15">
      <c r="C1283" s="548">
        <f>IF(D1265="","-",+C1282+1)</f>
        <v>2028</v>
      </c>
      <c r="D1283" s="506">
        <f t="shared" si="78"/>
        <v>18094260.083823528</v>
      </c>
      <c r="E1283" s="549">
        <f t="shared" si="83"/>
        <v>804189.33705882356</v>
      </c>
      <c r="F1283" s="506">
        <f t="shared" si="79"/>
        <v>17290070.746764705</v>
      </c>
      <c r="G1283" s="554">
        <f t="shared" si="80"/>
        <v>3442494.3959836219</v>
      </c>
      <c r="H1283" s="555">
        <f t="shared" si="81"/>
        <v>3442494.3959836219</v>
      </c>
      <c r="I1283" s="552">
        <f t="shared" si="82"/>
        <v>0</v>
      </c>
      <c r="J1283" s="552"/>
      <c r="K1283" s="572"/>
      <c r="L1283" s="556"/>
      <c r="M1283" s="572"/>
      <c r="N1283" s="557"/>
      <c r="O1283" s="556"/>
    </row>
    <row r="1284" spans="3:15">
      <c r="C1284" s="548">
        <f>IF(D1265="","-",+C1283+1)</f>
        <v>2029</v>
      </c>
      <c r="D1284" s="506">
        <f t="shared" si="78"/>
        <v>17290070.746764705</v>
      </c>
      <c r="E1284" s="549">
        <f t="shared" si="83"/>
        <v>804189.33705882356</v>
      </c>
      <c r="F1284" s="506">
        <f t="shared" si="79"/>
        <v>16485881.409705881</v>
      </c>
      <c r="G1284" s="554">
        <f t="shared" si="80"/>
        <v>3322571.438759767</v>
      </c>
      <c r="H1284" s="555">
        <f t="shared" si="81"/>
        <v>3322571.438759767</v>
      </c>
      <c r="I1284" s="552">
        <f t="shared" si="82"/>
        <v>0</v>
      </c>
      <c r="J1284" s="552"/>
      <c r="K1284" s="572"/>
      <c r="L1284" s="556"/>
      <c r="M1284" s="572"/>
      <c r="N1284" s="556"/>
      <c r="O1284" s="556"/>
    </row>
    <row r="1285" spans="3:15">
      <c r="C1285" s="548">
        <f>IF(D1265="","-",+C1284+1)</f>
        <v>2030</v>
      </c>
      <c r="D1285" s="506">
        <f t="shared" si="78"/>
        <v>16485881.409705881</v>
      </c>
      <c r="E1285" s="549">
        <f t="shared" si="83"/>
        <v>804189.33705882356</v>
      </c>
      <c r="F1285" s="506">
        <f t="shared" si="79"/>
        <v>15681692.072647057</v>
      </c>
      <c r="G1285" s="554">
        <f t="shared" si="80"/>
        <v>3202648.481535913</v>
      </c>
      <c r="H1285" s="555">
        <f t="shared" si="81"/>
        <v>3202648.481535913</v>
      </c>
      <c r="I1285" s="552">
        <f t="shared" si="82"/>
        <v>0</v>
      </c>
      <c r="J1285" s="552"/>
      <c r="K1285" s="572"/>
      <c r="L1285" s="556"/>
      <c r="M1285" s="572"/>
      <c r="N1285" s="556"/>
      <c r="O1285" s="556"/>
    </row>
    <row r="1286" spans="3:15">
      <c r="C1286" s="548">
        <f>IF(D1265="","-",+C1285+1)</f>
        <v>2031</v>
      </c>
      <c r="D1286" s="506">
        <f t="shared" si="78"/>
        <v>15681692.072647057</v>
      </c>
      <c r="E1286" s="549">
        <f t="shared" si="83"/>
        <v>804189.33705882356</v>
      </c>
      <c r="F1286" s="506">
        <f t="shared" si="79"/>
        <v>14877502.735588234</v>
      </c>
      <c r="G1286" s="554">
        <f t="shared" si="80"/>
        <v>3082725.5243120585</v>
      </c>
      <c r="H1286" s="555">
        <f t="shared" si="81"/>
        <v>3082725.5243120585</v>
      </c>
      <c r="I1286" s="552">
        <f t="shared" si="82"/>
        <v>0</v>
      </c>
      <c r="J1286" s="552"/>
      <c r="K1286" s="572"/>
      <c r="L1286" s="556"/>
      <c r="M1286" s="572"/>
      <c r="N1286" s="556"/>
      <c r="O1286" s="556"/>
    </row>
    <row r="1287" spans="3:15">
      <c r="C1287" s="548">
        <f>IF(D1265="","-",+C1286+1)</f>
        <v>2032</v>
      </c>
      <c r="D1287" s="506">
        <f t="shared" si="78"/>
        <v>14877502.735588234</v>
      </c>
      <c r="E1287" s="549">
        <f t="shared" si="83"/>
        <v>804189.33705882356</v>
      </c>
      <c r="F1287" s="506">
        <f t="shared" si="79"/>
        <v>14073313.39852941</v>
      </c>
      <c r="G1287" s="554">
        <f t="shared" si="80"/>
        <v>2962802.567088204</v>
      </c>
      <c r="H1287" s="555">
        <f t="shared" si="81"/>
        <v>2962802.567088204</v>
      </c>
      <c r="I1287" s="552">
        <f t="shared" si="82"/>
        <v>0</v>
      </c>
      <c r="J1287" s="552"/>
      <c r="K1287" s="572"/>
      <c r="L1287" s="556"/>
      <c r="M1287" s="572"/>
      <c r="N1287" s="556"/>
      <c r="O1287" s="556"/>
    </row>
    <row r="1288" spans="3:15">
      <c r="C1288" s="548">
        <f>IF(D1265="","-",+C1287+1)</f>
        <v>2033</v>
      </c>
      <c r="D1288" s="506">
        <f t="shared" si="78"/>
        <v>14073313.39852941</v>
      </c>
      <c r="E1288" s="549">
        <f t="shared" si="83"/>
        <v>804189.33705882356</v>
      </c>
      <c r="F1288" s="506">
        <f t="shared" si="79"/>
        <v>13269124.061470587</v>
      </c>
      <c r="G1288" s="554">
        <f t="shared" si="80"/>
        <v>2842879.6098643495</v>
      </c>
      <c r="H1288" s="555">
        <f t="shared" si="81"/>
        <v>2842879.6098643495</v>
      </c>
      <c r="I1288" s="552">
        <f t="shared" si="82"/>
        <v>0</v>
      </c>
      <c r="J1288" s="552"/>
      <c r="K1288" s="572"/>
      <c r="L1288" s="556"/>
      <c r="M1288" s="572"/>
      <c r="N1288" s="556"/>
      <c r="O1288" s="556"/>
    </row>
    <row r="1289" spans="3:15">
      <c r="C1289" s="548">
        <f>IF(D1265="","-",+C1288+1)</f>
        <v>2034</v>
      </c>
      <c r="D1289" s="506">
        <f t="shared" si="78"/>
        <v>13269124.061470587</v>
      </c>
      <c r="E1289" s="549">
        <f t="shared" si="83"/>
        <v>804189.33705882356</v>
      </c>
      <c r="F1289" s="506">
        <f t="shared" si="79"/>
        <v>12464934.724411763</v>
      </c>
      <c r="G1289" s="554">
        <f t="shared" si="80"/>
        <v>2722956.652640495</v>
      </c>
      <c r="H1289" s="555">
        <f t="shared" si="81"/>
        <v>2722956.652640495</v>
      </c>
      <c r="I1289" s="552">
        <f t="shared" si="82"/>
        <v>0</v>
      </c>
      <c r="J1289" s="552"/>
      <c r="K1289" s="572"/>
      <c r="L1289" s="556"/>
      <c r="M1289" s="572"/>
      <c r="N1289" s="556"/>
      <c r="O1289" s="556"/>
    </row>
    <row r="1290" spans="3:15">
      <c r="C1290" s="548">
        <f>IF(D1265="","-",+C1289+1)</f>
        <v>2035</v>
      </c>
      <c r="D1290" s="506">
        <f t="shared" si="78"/>
        <v>12464934.724411763</v>
      </c>
      <c r="E1290" s="549">
        <f t="shared" si="83"/>
        <v>804189.33705882356</v>
      </c>
      <c r="F1290" s="506">
        <f t="shared" si="79"/>
        <v>11660745.38735294</v>
      </c>
      <c r="G1290" s="554">
        <f t="shared" si="80"/>
        <v>2603033.6954166405</v>
      </c>
      <c r="H1290" s="555">
        <f t="shared" si="81"/>
        <v>2603033.6954166405</v>
      </c>
      <c r="I1290" s="552">
        <f t="shared" si="82"/>
        <v>0</v>
      </c>
      <c r="J1290" s="552"/>
      <c r="K1290" s="572"/>
      <c r="L1290" s="556"/>
      <c r="M1290" s="572"/>
      <c r="N1290" s="556"/>
      <c r="O1290" s="556"/>
    </row>
    <row r="1291" spans="3:15">
      <c r="C1291" s="548">
        <f>IF(D1265="","-",+C1290+1)</f>
        <v>2036</v>
      </c>
      <c r="D1291" s="506">
        <f t="shared" si="78"/>
        <v>11660745.38735294</v>
      </c>
      <c r="E1291" s="549">
        <f t="shared" si="83"/>
        <v>804189.33705882356</v>
      </c>
      <c r="F1291" s="506">
        <f t="shared" si="79"/>
        <v>10856556.050294116</v>
      </c>
      <c r="G1291" s="554">
        <f t="shared" si="80"/>
        <v>2483110.738192786</v>
      </c>
      <c r="H1291" s="555">
        <f t="shared" si="81"/>
        <v>2483110.738192786</v>
      </c>
      <c r="I1291" s="552">
        <f t="shared" si="82"/>
        <v>0</v>
      </c>
      <c r="J1291" s="552"/>
      <c r="K1291" s="572"/>
      <c r="L1291" s="556"/>
      <c r="M1291" s="572"/>
      <c r="N1291" s="556"/>
      <c r="O1291" s="556"/>
    </row>
    <row r="1292" spans="3:15">
      <c r="C1292" s="548">
        <f>IF(D1265="","-",+C1291+1)</f>
        <v>2037</v>
      </c>
      <c r="D1292" s="506">
        <f t="shared" si="78"/>
        <v>10856556.050294116</v>
      </c>
      <c r="E1292" s="549">
        <f t="shared" si="83"/>
        <v>804189.33705882356</v>
      </c>
      <c r="F1292" s="506">
        <f t="shared" si="79"/>
        <v>10052366.713235293</v>
      </c>
      <c r="G1292" s="554">
        <f t="shared" si="80"/>
        <v>2363187.7809689315</v>
      </c>
      <c r="H1292" s="555">
        <f t="shared" si="81"/>
        <v>2363187.7809689315</v>
      </c>
      <c r="I1292" s="552">
        <f t="shared" si="82"/>
        <v>0</v>
      </c>
      <c r="J1292" s="552"/>
      <c r="K1292" s="572"/>
      <c r="L1292" s="556"/>
      <c r="M1292" s="572"/>
      <c r="N1292" s="556"/>
      <c r="O1292" s="556"/>
    </row>
    <row r="1293" spans="3:15">
      <c r="C1293" s="548">
        <f>IF(D1265="","-",+C1292+1)</f>
        <v>2038</v>
      </c>
      <c r="D1293" s="506">
        <f t="shared" si="78"/>
        <v>10052366.713235293</v>
      </c>
      <c r="E1293" s="549">
        <f t="shared" si="83"/>
        <v>804189.33705882356</v>
      </c>
      <c r="F1293" s="506">
        <f t="shared" si="79"/>
        <v>9248177.376176469</v>
      </c>
      <c r="G1293" s="554">
        <f t="shared" si="80"/>
        <v>2243264.823745077</v>
      </c>
      <c r="H1293" s="555">
        <f t="shared" si="81"/>
        <v>2243264.823745077</v>
      </c>
      <c r="I1293" s="552">
        <f t="shared" si="82"/>
        <v>0</v>
      </c>
      <c r="J1293" s="552"/>
      <c r="K1293" s="572"/>
      <c r="L1293" s="556"/>
      <c r="M1293" s="572"/>
      <c r="N1293" s="556"/>
      <c r="O1293" s="556"/>
    </row>
    <row r="1294" spans="3:15">
      <c r="C1294" s="548">
        <f>IF(D1265="","-",+C1293+1)</f>
        <v>2039</v>
      </c>
      <c r="D1294" s="506">
        <f t="shared" si="78"/>
        <v>9248177.376176469</v>
      </c>
      <c r="E1294" s="549">
        <f t="shared" si="83"/>
        <v>804189.33705882356</v>
      </c>
      <c r="F1294" s="506">
        <f t="shared" si="79"/>
        <v>8443988.0391176455</v>
      </c>
      <c r="G1294" s="554">
        <f t="shared" si="80"/>
        <v>2123341.8665212225</v>
      </c>
      <c r="H1294" s="555">
        <f t="shared" si="81"/>
        <v>2123341.8665212225</v>
      </c>
      <c r="I1294" s="552">
        <f t="shared" si="82"/>
        <v>0</v>
      </c>
      <c r="J1294" s="552"/>
      <c r="K1294" s="572"/>
      <c r="L1294" s="556"/>
      <c r="M1294" s="572"/>
      <c r="N1294" s="556"/>
      <c r="O1294" s="556"/>
    </row>
    <row r="1295" spans="3:15">
      <c r="C1295" s="548">
        <f>IF(D1265="","-",+C1294+1)</f>
        <v>2040</v>
      </c>
      <c r="D1295" s="506">
        <f t="shared" si="78"/>
        <v>8443988.0391176455</v>
      </c>
      <c r="E1295" s="549">
        <f t="shared" si="83"/>
        <v>804189.33705882356</v>
      </c>
      <c r="F1295" s="506">
        <f t="shared" si="79"/>
        <v>7639798.7020588219</v>
      </c>
      <c r="G1295" s="554">
        <f t="shared" si="80"/>
        <v>2003418.909297368</v>
      </c>
      <c r="H1295" s="555">
        <f t="shared" si="81"/>
        <v>2003418.909297368</v>
      </c>
      <c r="I1295" s="552">
        <f t="shared" si="82"/>
        <v>0</v>
      </c>
      <c r="J1295" s="552"/>
      <c r="K1295" s="572"/>
      <c r="L1295" s="556"/>
      <c r="M1295" s="572"/>
      <c r="N1295" s="556"/>
      <c r="O1295" s="556"/>
    </row>
    <row r="1296" spans="3:15">
      <c r="C1296" s="548">
        <f>IF(D1265="","-",+C1295+1)</f>
        <v>2041</v>
      </c>
      <c r="D1296" s="506">
        <f t="shared" si="78"/>
        <v>7639798.7020588219</v>
      </c>
      <c r="E1296" s="549">
        <f t="shared" si="83"/>
        <v>804189.33705882356</v>
      </c>
      <c r="F1296" s="506">
        <f t="shared" si="79"/>
        <v>6835609.3649999984</v>
      </c>
      <c r="G1296" s="554">
        <f t="shared" si="80"/>
        <v>1883495.9520735135</v>
      </c>
      <c r="H1296" s="555">
        <f t="shared" si="81"/>
        <v>1883495.9520735135</v>
      </c>
      <c r="I1296" s="552">
        <f t="shared" si="82"/>
        <v>0</v>
      </c>
      <c r="J1296" s="552"/>
      <c r="K1296" s="572"/>
      <c r="L1296" s="556"/>
      <c r="M1296" s="572"/>
      <c r="N1296" s="556"/>
      <c r="O1296" s="556"/>
    </row>
    <row r="1297" spans="3:15">
      <c r="C1297" s="548">
        <f>IF(D1265="","-",+C1296+1)</f>
        <v>2042</v>
      </c>
      <c r="D1297" s="506">
        <f t="shared" si="78"/>
        <v>6835609.3649999984</v>
      </c>
      <c r="E1297" s="549">
        <f t="shared" si="83"/>
        <v>804189.33705882356</v>
      </c>
      <c r="F1297" s="506">
        <f t="shared" si="79"/>
        <v>6031420.0279411748</v>
      </c>
      <c r="G1297" s="554">
        <f t="shared" si="80"/>
        <v>1763572.994849659</v>
      </c>
      <c r="H1297" s="555">
        <f t="shared" si="81"/>
        <v>1763572.994849659</v>
      </c>
      <c r="I1297" s="552">
        <f t="shared" si="82"/>
        <v>0</v>
      </c>
      <c r="J1297" s="552"/>
      <c r="K1297" s="572"/>
      <c r="L1297" s="556"/>
      <c r="M1297" s="572"/>
      <c r="N1297" s="556"/>
      <c r="O1297" s="556"/>
    </row>
    <row r="1298" spans="3:15">
      <c r="C1298" s="548">
        <f>IF(D1265="","-",+C1297+1)</f>
        <v>2043</v>
      </c>
      <c r="D1298" s="506">
        <f t="shared" si="78"/>
        <v>6031420.0279411748</v>
      </c>
      <c r="E1298" s="549">
        <f t="shared" si="83"/>
        <v>804189.33705882356</v>
      </c>
      <c r="F1298" s="506">
        <f t="shared" si="79"/>
        <v>5227230.6908823512</v>
      </c>
      <c r="G1298" s="554">
        <f t="shared" si="80"/>
        <v>1643650.0376258045</v>
      </c>
      <c r="H1298" s="555">
        <f t="shared" si="81"/>
        <v>1643650.0376258045</v>
      </c>
      <c r="I1298" s="552">
        <f t="shared" si="82"/>
        <v>0</v>
      </c>
      <c r="J1298" s="552"/>
      <c r="K1298" s="572"/>
      <c r="L1298" s="556"/>
      <c r="M1298" s="572"/>
      <c r="N1298" s="556"/>
      <c r="O1298" s="556"/>
    </row>
    <row r="1299" spans="3:15">
      <c r="C1299" s="548">
        <f>IF(D1265="","-",+C1298+1)</f>
        <v>2044</v>
      </c>
      <c r="D1299" s="506">
        <f t="shared" si="78"/>
        <v>5227230.6908823512</v>
      </c>
      <c r="E1299" s="549">
        <f t="shared" si="83"/>
        <v>804189.33705882356</v>
      </c>
      <c r="F1299" s="506">
        <f t="shared" si="79"/>
        <v>4423041.3538235277</v>
      </c>
      <c r="G1299" s="550">
        <f t="shared" si="80"/>
        <v>1523727.0804019501</v>
      </c>
      <c r="H1299" s="555">
        <f t="shared" si="81"/>
        <v>1523727.0804019501</v>
      </c>
      <c r="I1299" s="552">
        <f t="shared" si="82"/>
        <v>0</v>
      </c>
      <c r="J1299" s="552"/>
      <c r="K1299" s="572"/>
      <c r="L1299" s="556"/>
      <c r="M1299" s="572"/>
      <c r="N1299" s="556"/>
      <c r="O1299" s="556"/>
    </row>
    <row r="1300" spans="3:15">
      <c r="C1300" s="548">
        <f>IF(D1265="","-",+C1299+1)</f>
        <v>2045</v>
      </c>
      <c r="D1300" s="506">
        <f t="shared" si="78"/>
        <v>4423041.3538235277</v>
      </c>
      <c r="E1300" s="549">
        <f t="shared" si="83"/>
        <v>804189.33705882356</v>
      </c>
      <c r="F1300" s="506">
        <f t="shared" si="79"/>
        <v>3618852.0167647041</v>
      </c>
      <c r="G1300" s="554">
        <f t="shared" si="80"/>
        <v>1403804.1231780956</v>
      </c>
      <c r="H1300" s="555">
        <f t="shared" si="81"/>
        <v>1403804.1231780956</v>
      </c>
      <c r="I1300" s="552">
        <f t="shared" si="82"/>
        <v>0</v>
      </c>
      <c r="J1300" s="552"/>
      <c r="K1300" s="572"/>
      <c r="L1300" s="556"/>
      <c r="M1300" s="572"/>
      <c r="N1300" s="556"/>
      <c r="O1300" s="556"/>
    </row>
    <row r="1301" spans="3:15">
      <c r="C1301" s="548">
        <f>IF(D1265="","-",+C1300+1)</f>
        <v>2046</v>
      </c>
      <c r="D1301" s="506">
        <f t="shared" si="78"/>
        <v>3618852.0167647041</v>
      </c>
      <c r="E1301" s="549">
        <f t="shared" si="83"/>
        <v>804189.33705882356</v>
      </c>
      <c r="F1301" s="506">
        <f t="shared" si="79"/>
        <v>2814662.6797058806</v>
      </c>
      <c r="G1301" s="554">
        <f t="shared" si="80"/>
        <v>1283881.1659542411</v>
      </c>
      <c r="H1301" s="555">
        <f t="shared" si="81"/>
        <v>1283881.1659542411</v>
      </c>
      <c r="I1301" s="552">
        <f t="shared" si="82"/>
        <v>0</v>
      </c>
      <c r="J1301" s="552"/>
      <c r="K1301" s="572"/>
      <c r="L1301" s="556"/>
      <c r="M1301" s="572"/>
      <c r="N1301" s="556"/>
      <c r="O1301" s="556"/>
    </row>
    <row r="1302" spans="3:15">
      <c r="C1302" s="548">
        <f>IF(D1265="","-",+C1301+1)</f>
        <v>2047</v>
      </c>
      <c r="D1302" s="506">
        <f t="shared" si="78"/>
        <v>2814662.6797058806</v>
      </c>
      <c r="E1302" s="549">
        <f t="shared" si="83"/>
        <v>804189.33705882356</v>
      </c>
      <c r="F1302" s="506">
        <f t="shared" si="79"/>
        <v>2010473.342647057</v>
      </c>
      <c r="G1302" s="554">
        <f t="shared" si="80"/>
        <v>1163958.2087303868</v>
      </c>
      <c r="H1302" s="555">
        <f t="shared" si="81"/>
        <v>1163958.2087303868</v>
      </c>
      <c r="I1302" s="552">
        <f t="shared" si="82"/>
        <v>0</v>
      </c>
      <c r="J1302" s="552"/>
      <c r="K1302" s="572"/>
      <c r="L1302" s="556"/>
      <c r="M1302" s="572"/>
      <c r="N1302" s="556"/>
      <c r="O1302" s="556"/>
    </row>
    <row r="1303" spans="3:15">
      <c r="C1303" s="548">
        <f>IF(D1265="","-",+C1302+1)</f>
        <v>2048</v>
      </c>
      <c r="D1303" s="506">
        <f t="shared" si="78"/>
        <v>2010473.342647057</v>
      </c>
      <c r="E1303" s="549">
        <f t="shared" si="83"/>
        <v>804189.33705882356</v>
      </c>
      <c r="F1303" s="506">
        <f t="shared" si="79"/>
        <v>1206284.0055882335</v>
      </c>
      <c r="G1303" s="554">
        <f t="shared" si="80"/>
        <v>1044035.2515065323</v>
      </c>
      <c r="H1303" s="555">
        <f t="shared" si="81"/>
        <v>1044035.2515065323</v>
      </c>
      <c r="I1303" s="552">
        <f t="shared" si="82"/>
        <v>0</v>
      </c>
      <c r="J1303" s="552"/>
      <c r="K1303" s="572"/>
      <c r="L1303" s="556"/>
      <c r="M1303" s="572"/>
      <c r="N1303" s="556"/>
      <c r="O1303" s="556"/>
    </row>
    <row r="1304" spans="3:15">
      <c r="C1304" s="548">
        <f>IF(D1265="","-",+C1303+1)</f>
        <v>2049</v>
      </c>
      <c r="D1304" s="506">
        <f t="shared" si="78"/>
        <v>1206284.0055882335</v>
      </c>
      <c r="E1304" s="549">
        <f t="shared" si="83"/>
        <v>804189.33705882356</v>
      </c>
      <c r="F1304" s="506">
        <f t="shared" si="79"/>
        <v>402094.66852940992</v>
      </c>
      <c r="G1304" s="554">
        <f t="shared" si="80"/>
        <v>924112.29428267782</v>
      </c>
      <c r="H1304" s="555">
        <f t="shared" si="81"/>
        <v>924112.29428267782</v>
      </c>
      <c r="I1304" s="552">
        <f t="shared" si="82"/>
        <v>0</v>
      </c>
      <c r="J1304" s="552"/>
      <c r="K1304" s="572"/>
      <c r="L1304" s="556"/>
      <c r="M1304" s="572"/>
      <c r="N1304" s="556"/>
      <c r="O1304" s="556"/>
    </row>
    <row r="1305" spans="3:15">
      <c r="C1305" s="548">
        <f>IF(D1265="","-",+C1304+1)</f>
        <v>2050</v>
      </c>
      <c r="D1305" s="506">
        <f t="shared" si="78"/>
        <v>402094.66852940992</v>
      </c>
      <c r="E1305" s="549">
        <f t="shared" si="83"/>
        <v>402094.66852940992</v>
      </c>
      <c r="F1305" s="506">
        <f t="shared" si="79"/>
        <v>0</v>
      </c>
      <c r="G1305" s="554">
        <f t="shared" si="80"/>
        <v>432075.40783537342</v>
      </c>
      <c r="H1305" s="555">
        <f t="shared" si="81"/>
        <v>432075.40783537342</v>
      </c>
      <c r="I1305" s="552">
        <f t="shared" si="82"/>
        <v>0</v>
      </c>
      <c r="J1305" s="552"/>
      <c r="K1305" s="572"/>
      <c r="L1305" s="556"/>
      <c r="M1305" s="572"/>
      <c r="N1305" s="556"/>
      <c r="O1305" s="556"/>
    </row>
    <row r="1306" spans="3:15">
      <c r="C1306" s="548">
        <f>IF(D1265="","-",+C1305+1)</f>
        <v>2051</v>
      </c>
      <c r="D1306" s="506">
        <f t="shared" si="78"/>
        <v>0</v>
      </c>
      <c r="E1306" s="549">
        <f t="shared" si="83"/>
        <v>0</v>
      </c>
      <c r="F1306" s="506">
        <f t="shared" si="79"/>
        <v>0</v>
      </c>
      <c r="G1306" s="554">
        <f t="shared" si="80"/>
        <v>0</v>
      </c>
      <c r="H1306" s="555">
        <f t="shared" si="81"/>
        <v>0</v>
      </c>
      <c r="I1306" s="552">
        <f t="shared" si="82"/>
        <v>0</v>
      </c>
      <c r="J1306" s="552"/>
      <c r="K1306" s="572"/>
      <c r="L1306" s="556"/>
      <c r="M1306" s="572"/>
      <c r="N1306" s="556"/>
      <c r="O1306" s="556"/>
    </row>
    <row r="1307" spans="3:15">
      <c r="C1307" s="548">
        <f>IF(D1265="","-",+C1306+1)</f>
        <v>2052</v>
      </c>
      <c r="D1307" s="506">
        <f t="shared" si="78"/>
        <v>0</v>
      </c>
      <c r="E1307" s="549">
        <f t="shared" si="83"/>
        <v>0</v>
      </c>
      <c r="F1307" s="506">
        <f t="shared" si="79"/>
        <v>0</v>
      </c>
      <c r="G1307" s="554">
        <f t="shared" si="80"/>
        <v>0</v>
      </c>
      <c r="H1307" s="555">
        <f t="shared" si="81"/>
        <v>0</v>
      </c>
      <c r="I1307" s="552">
        <f t="shared" si="82"/>
        <v>0</v>
      </c>
      <c r="J1307" s="552"/>
      <c r="K1307" s="572"/>
      <c r="L1307" s="556"/>
      <c r="M1307" s="572"/>
      <c r="N1307" s="556"/>
      <c r="O1307" s="556"/>
    </row>
    <row r="1308" spans="3:15">
      <c r="C1308" s="548">
        <f>IF(D1265="","-",+C1307+1)</f>
        <v>2053</v>
      </c>
      <c r="D1308" s="506">
        <f t="shared" si="78"/>
        <v>0</v>
      </c>
      <c r="E1308" s="549">
        <f t="shared" si="83"/>
        <v>0</v>
      </c>
      <c r="F1308" s="506">
        <f t="shared" si="79"/>
        <v>0</v>
      </c>
      <c r="G1308" s="554">
        <f t="shared" si="80"/>
        <v>0</v>
      </c>
      <c r="H1308" s="555">
        <f t="shared" si="81"/>
        <v>0</v>
      </c>
      <c r="I1308" s="552">
        <f t="shared" si="82"/>
        <v>0</v>
      </c>
      <c r="J1308" s="552"/>
      <c r="K1308" s="572"/>
      <c r="L1308" s="556"/>
      <c r="M1308" s="572"/>
      <c r="N1308" s="556"/>
      <c r="O1308" s="556"/>
    </row>
    <row r="1309" spans="3:15">
      <c r="C1309" s="548">
        <f>IF(D1265="","-",+C1308+1)</f>
        <v>2054</v>
      </c>
      <c r="D1309" s="506">
        <f t="shared" si="78"/>
        <v>0</v>
      </c>
      <c r="E1309" s="549">
        <f t="shared" si="83"/>
        <v>0</v>
      </c>
      <c r="F1309" s="506">
        <f t="shared" si="79"/>
        <v>0</v>
      </c>
      <c r="G1309" s="554">
        <f t="shared" si="80"/>
        <v>0</v>
      </c>
      <c r="H1309" s="555">
        <f t="shared" si="81"/>
        <v>0</v>
      </c>
      <c r="I1309" s="552">
        <f t="shared" si="82"/>
        <v>0</v>
      </c>
      <c r="J1309" s="552"/>
      <c r="K1309" s="572"/>
      <c r="L1309" s="556"/>
      <c r="M1309" s="572"/>
      <c r="N1309" s="556"/>
      <c r="O1309" s="556"/>
    </row>
    <row r="1310" spans="3:15">
      <c r="C1310" s="548">
        <f>IF(D1265="","-",+C1309+1)</f>
        <v>2055</v>
      </c>
      <c r="D1310" s="506">
        <f t="shared" si="78"/>
        <v>0</v>
      </c>
      <c r="E1310" s="549">
        <f t="shared" si="83"/>
        <v>0</v>
      </c>
      <c r="F1310" s="506">
        <f t="shared" si="79"/>
        <v>0</v>
      </c>
      <c r="G1310" s="554">
        <f t="shared" si="80"/>
        <v>0</v>
      </c>
      <c r="H1310" s="555">
        <f t="shared" si="81"/>
        <v>0</v>
      </c>
      <c r="I1310" s="552">
        <f t="shared" si="82"/>
        <v>0</v>
      </c>
      <c r="J1310" s="552"/>
      <c r="K1310" s="572"/>
      <c r="L1310" s="556"/>
      <c r="M1310" s="572"/>
      <c r="N1310" s="556"/>
      <c r="O1310" s="556"/>
    </row>
    <row r="1311" spans="3:15">
      <c r="C1311" s="548">
        <f>IF(D1265="","-",+C1310+1)</f>
        <v>2056</v>
      </c>
      <c r="D1311" s="506">
        <f t="shared" si="78"/>
        <v>0</v>
      </c>
      <c r="E1311" s="549">
        <f t="shared" si="83"/>
        <v>0</v>
      </c>
      <c r="F1311" s="506">
        <f t="shared" si="79"/>
        <v>0</v>
      </c>
      <c r="G1311" s="554">
        <f t="shared" si="80"/>
        <v>0</v>
      </c>
      <c r="H1311" s="555">
        <f t="shared" si="81"/>
        <v>0</v>
      </c>
      <c r="I1311" s="552">
        <f t="shared" si="82"/>
        <v>0</v>
      </c>
      <c r="J1311" s="552"/>
      <c r="K1311" s="572"/>
      <c r="L1311" s="556"/>
      <c r="M1311" s="572"/>
      <c r="N1311" s="556"/>
      <c r="O1311" s="556"/>
    </row>
    <row r="1312" spans="3:15">
      <c r="C1312" s="548">
        <f>IF(D1265="","-",+C1311+1)</f>
        <v>2057</v>
      </c>
      <c r="D1312" s="506">
        <f t="shared" si="78"/>
        <v>0</v>
      </c>
      <c r="E1312" s="549">
        <f t="shared" si="83"/>
        <v>0</v>
      </c>
      <c r="F1312" s="506">
        <f t="shared" si="79"/>
        <v>0</v>
      </c>
      <c r="G1312" s="554">
        <f t="shared" si="80"/>
        <v>0</v>
      </c>
      <c r="H1312" s="555">
        <f t="shared" si="81"/>
        <v>0</v>
      </c>
      <c r="I1312" s="552">
        <f t="shared" si="82"/>
        <v>0</v>
      </c>
      <c r="J1312" s="552"/>
      <c r="K1312" s="572"/>
      <c r="L1312" s="556"/>
      <c r="M1312" s="572"/>
      <c r="N1312" s="556"/>
      <c r="O1312" s="556"/>
    </row>
    <row r="1313" spans="3:15">
      <c r="C1313" s="548">
        <f>IF(D1265="","-",+C1312+1)</f>
        <v>2058</v>
      </c>
      <c r="D1313" s="506">
        <f t="shared" si="78"/>
        <v>0</v>
      </c>
      <c r="E1313" s="549">
        <f t="shared" si="83"/>
        <v>0</v>
      </c>
      <c r="F1313" s="506">
        <f t="shared" si="79"/>
        <v>0</v>
      </c>
      <c r="G1313" s="554">
        <f t="shared" si="80"/>
        <v>0</v>
      </c>
      <c r="H1313" s="555">
        <f t="shared" si="81"/>
        <v>0</v>
      </c>
      <c r="I1313" s="552">
        <f t="shared" si="82"/>
        <v>0</v>
      </c>
      <c r="J1313" s="552"/>
      <c r="K1313" s="572"/>
      <c r="L1313" s="556"/>
      <c r="M1313" s="572"/>
      <c r="N1313" s="556"/>
      <c r="O1313" s="556"/>
    </row>
    <row r="1314" spans="3:15">
      <c r="C1314" s="548">
        <f>IF(D1265="","-",+C1313+1)</f>
        <v>2059</v>
      </c>
      <c r="D1314" s="506">
        <f t="shared" si="78"/>
        <v>0</v>
      </c>
      <c r="E1314" s="549">
        <f t="shared" si="83"/>
        <v>0</v>
      </c>
      <c r="F1314" s="506">
        <f t="shared" si="79"/>
        <v>0</v>
      </c>
      <c r="G1314" s="554">
        <f t="shared" si="80"/>
        <v>0</v>
      </c>
      <c r="H1314" s="555">
        <f t="shared" si="81"/>
        <v>0</v>
      </c>
      <c r="I1314" s="552">
        <f t="shared" si="82"/>
        <v>0</v>
      </c>
      <c r="J1314" s="552"/>
      <c r="K1314" s="572"/>
      <c r="L1314" s="556"/>
      <c r="M1314" s="572"/>
      <c r="N1314" s="556"/>
      <c r="O1314" s="556"/>
    </row>
    <row r="1315" spans="3:15">
      <c r="C1315" s="548">
        <f>IF(D1265="","-",+C1314+1)</f>
        <v>2060</v>
      </c>
      <c r="D1315" s="506">
        <f t="shared" si="78"/>
        <v>0</v>
      </c>
      <c r="E1315" s="549">
        <f t="shared" si="83"/>
        <v>0</v>
      </c>
      <c r="F1315" s="506">
        <f t="shared" si="79"/>
        <v>0</v>
      </c>
      <c r="G1315" s="554">
        <f t="shared" si="80"/>
        <v>0</v>
      </c>
      <c r="H1315" s="555">
        <f t="shared" si="81"/>
        <v>0</v>
      </c>
      <c r="I1315" s="552">
        <f t="shared" si="82"/>
        <v>0</v>
      </c>
      <c r="J1315" s="552"/>
      <c r="K1315" s="572"/>
      <c r="L1315" s="556"/>
      <c r="M1315" s="572"/>
      <c r="N1315" s="556"/>
      <c r="O1315" s="556"/>
    </row>
    <row r="1316" spans="3:15">
      <c r="C1316" s="548">
        <f>IF(D1265="","-",+C1315+1)</f>
        <v>2061</v>
      </c>
      <c r="D1316" s="506">
        <f t="shared" si="78"/>
        <v>0</v>
      </c>
      <c r="E1316" s="549">
        <f t="shared" si="83"/>
        <v>0</v>
      </c>
      <c r="F1316" s="506">
        <f t="shared" si="79"/>
        <v>0</v>
      </c>
      <c r="G1316" s="554">
        <f t="shared" si="80"/>
        <v>0</v>
      </c>
      <c r="H1316" s="555">
        <f t="shared" si="81"/>
        <v>0</v>
      </c>
      <c r="I1316" s="552">
        <f t="shared" si="82"/>
        <v>0</v>
      </c>
      <c r="J1316" s="552"/>
      <c r="K1316" s="572"/>
      <c r="L1316" s="556"/>
      <c r="M1316" s="572"/>
      <c r="N1316" s="556"/>
      <c r="O1316" s="556"/>
    </row>
    <row r="1317" spans="3:15">
      <c r="C1317" s="548">
        <f>IF(D1265="","-",+C1316+1)</f>
        <v>2062</v>
      </c>
      <c r="D1317" s="506">
        <f t="shared" si="78"/>
        <v>0</v>
      </c>
      <c r="E1317" s="549">
        <f t="shared" si="83"/>
        <v>0</v>
      </c>
      <c r="F1317" s="506">
        <f t="shared" si="79"/>
        <v>0</v>
      </c>
      <c r="G1317" s="554">
        <f t="shared" si="80"/>
        <v>0</v>
      </c>
      <c r="H1317" s="555">
        <f t="shared" si="81"/>
        <v>0</v>
      </c>
      <c r="I1317" s="552">
        <f t="shared" si="82"/>
        <v>0</v>
      </c>
      <c r="J1317" s="552"/>
      <c r="K1317" s="572"/>
      <c r="L1317" s="556"/>
      <c r="M1317" s="572"/>
      <c r="N1317" s="556"/>
      <c r="O1317" s="556"/>
    </row>
    <row r="1318" spans="3:15">
      <c r="C1318" s="548">
        <f>IF(D1265="","-",+C1317+1)</f>
        <v>2063</v>
      </c>
      <c r="D1318" s="506">
        <f t="shared" si="78"/>
        <v>0</v>
      </c>
      <c r="E1318" s="549">
        <f t="shared" si="83"/>
        <v>0</v>
      </c>
      <c r="F1318" s="506">
        <f t="shared" si="79"/>
        <v>0</v>
      </c>
      <c r="G1318" s="554">
        <f t="shared" si="80"/>
        <v>0</v>
      </c>
      <c r="H1318" s="555">
        <f t="shared" si="81"/>
        <v>0</v>
      </c>
      <c r="I1318" s="552">
        <f t="shared" si="82"/>
        <v>0</v>
      </c>
      <c r="J1318" s="552"/>
      <c r="K1318" s="572"/>
      <c r="L1318" s="556"/>
      <c r="M1318" s="572"/>
      <c r="N1318" s="556"/>
      <c r="O1318" s="556"/>
    </row>
    <row r="1319" spans="3:15">
      <c r="C1319" s="548">
        <f>IF(D1265="","-",+C1318+1)</f>
        <v>2064</v>
      </c>
      <c r="D1319" s="506">
        <f t="shared" si="78"/>
        <v>0</v>
      </c>
      <c r="E1319" s="549">
        <f t="shared" si="83"/>
        <v>0</v>
      </c>
      <c r="F1319" s="506">
        <f t="shared" si="79"/>
        <v>0</v>
      </c>
      <c r="G1319" s="554">
        <f t="shared" si="80"/>
        <v>0</v>
      </c>
      <c r="H1319" s="555">
        <f t="shared" si="81"/>
        <v>0</v>
      </c>
      <c r="I1319" s="552">
        <f t="shared" si="82"/>
        <v>0</v>
      </c>
      <c r="J1319" s="552"/>
      <c r="K1319" s="572"/>
      <c r="L1319" s="556"/>
      <c r="M1319" s="572"/>
      <c r="N1319" s="556"/>
      <c r="O1319" s="556"/>
    </row>
    <row r="1320" spans="3:15">
      <c r="C1320" s="548">
        <f>IF(D1265="","-",+C1319+1)</f>
        <v>2065</v>
      </c>
      <c r="D1320" s="506">
        <f t="shared" si="78"/>
        <v>0</v>
      </c>
      <c r="E1320" s="549">
        <f t="shared" si="83"/>
        <v>0</v>
      </c>
      <c r="F1320" s="506">
        <f t="shared" si="79"/>
        <v>0</v>
      </c>
      <c r="G1320" s="554">
        <f t="shared" si="80"/>
        <v>0</v>
      </c>
      <c r="H1320" s="555">
        <f t="shared" si="81"/>
        <v>0</v>
      </c>
      <c r="I1320" s="552">
        <f t="shared" si="82"/>
        <v>0</v>
      </c>
      <c r="J1320" s="552"/>
      <c r="K1320" s="572"/>
      <c r="L1320" s="556"/>
      <c r="M1320" s="572"/>
      <c r="N1320" s="556"/>
      <c r="O1320" s="556"/>
    </row>
    <row r="1321" spans="3:15">
      <c r="C1321" s="548">
        <f>IF(D1265="","-",+C1320+1)</f>
        <v>2066</v>
      </c>
      <c r="D1321" s="506">
        <f t="shared" si="78"/>
        <v>0</v>
      </c>
      <c r="E1321" s="549">
        <f t="shared" si="83"/>
        <v>0</v>
      </c>
      <c r="F1321" s="506">
        <f t="shared" si="79"/>
        <v>0</v>
      </c>
      <c r="G1321" s="554">
        <f t="shared" si="80"/>
        <v>0</v>
      </c>
      <c r="H1321" s="555">
        <f t="shared" si="81"/>
        <v>0</v>
      </c>
      <c r="I1321" s="552">
        <f t="shared" si="82"/>
        <v>0</v>
      </c>
      <c r="J1321" s="552"/>
      <c r="K1321" s="572"/>
      <c r="L1321" s="556"/>
      <c r="M1321" s="572"/>
      <c r="N1321" s="556"/>
      <c r="O1321" s="556"/>
    </row>
    <row r="1322" spans="3:15">
      <c r="C1322" s="548">
        <f>IF(D1265="","-",+C1321+1)</f>
        <v>2067</v>
      </c>
      <c r="D1322" s="506">
        <f t="shared" si="78"/>
        <v>0</v>
      </c>
      <c r="E1322" s="549">
        <f t="shared" si="83"/>
        <v>0</v>
      </c>
      <c r="F1322" s="506">
        <f t="shared" si="79"/>
        <v>0</v>
      </c>
      <c r="G1322" s="554">
        <f t="shared" si="80"/>
        <v>0</v>
      </c>
      <c r="H1322" s="555">
        <f t="shared" si="81"/>
        <v>0</v>
      </c>
      <c r="I1322" s="552">
        <f t="shared" si="82"/>
        <v>0</v>
      </c>
      <c r="J1322" s="552"/>
      <c r="K1322" s="572"/>
      <c r="L1322" s="556"/>
      <c r="M1322" s="572"/>
      <c r="N1322" s="556"/>
      <c r="O1322" s="556"/>
    </row>
    <row r="1323" spans="3:15">
      <c r="C1323" s="548">
        <f>IF(D1265="","-",+C1322+1)</f>
        <v>2068</v>
      </c>
      <c r="D1323" s="506">
        <f t="shared" si="78"/>
        <v>0</v>
      </c>
      <c r="E1323" s="549">
        <f t="shared" si="83"/>
        <v>0</v>
      </c>
      <c r="F1323" s="506">
        <f t="shared" si="79"/>
        <v>0</v>
      </c>
      <c r="G1323" s="554">
        <f t="shared" si="80"/>
        <v>0</v>
      </c>
      <c r="H1323" s="555">
        <f t="shared" si="81"/>
        <v>0</v>
      </c>
      <c r="I1323" s="552">
        <f t="shared" si="82"/>
        <v>0</v>
      </c>
      <c r="J1323" s="552"/>
      <c r="K1323" s="572"/>
      <c r="L1323" s="556"/>
      <c r="M1323" s="572"/>
      <c r="N1323" s="556"/>
      <c r="O1323" s="556"/>
    </row>
    <row r="1324" spans="3:15">
      <c r="C1324" s="548">
        <f>IF(D1265="","-",+C1323+1)</f>
        <v>2069</v>
      </c>
      <c r="D1324" s="506">
        <f t="shared" si="78"/>
        <v>0</v>
      </c>
      <c r="E1324" s="549">
        <f t="shared" si="83"/>
        <v>0</v>
      </c>
      <c r="F1324" s="506">
        <f t="shared" si="79"/>
        <v>0</v>
      </c>
      <c r="G1324" s="554">
        <f t="shared" si="80"/>
        <v>0</v>
      </c>
      <c r="H1324" s="555">
        <f t="shared" si="81"/>
        <v>0</v>
      </c>
      <c r="I1324" s="552">
        <f t="shared" si="82"/>
        <v>0</v>
      </c>
      <c r="J1324" s="552"/>
      <c r="K1324" s="572"/>
      <c r="L1324" s="556"/>
      <c r="M1324" s="572"/>
      <c r="N1324" s="556"/>
      <c r="O1324" s="556"/>
    </row>
    <row r="1325" spans="3:15">
      <c r="C1325" s="548">
        <f>IF(D1265="","-",+C1324+1)</f>
        <v>2070</v>
      </c>
      <c r="D1325" s="506">
        <f t="shared" si="78"/>
        <v>0</v>
      </c>
      <c r="E1325" s="549">
        <f t="shared" si="83"/>
        <v>0</v>
      </c>
      <c r="F1325" s="506">
        <f t="shared" si="79"/>
        <v>0</v>
      </c>
      <c r="G1325" s="554">
        <f t="shared" si="80"/>
        <v>0</v>
      </c>
      <c r="H1325" s="555">
        <f t="shared" si="81"/>
        <v>0</v>
      </c>
      <c r="I1325" s="552">
        <f t="shared" si="82"/>
        <v>0</v>
      </c>
      <c r="J1325" s="552"/>
      <c r="K1325" s="572"/>
      <c r="L1325" s="556"/>
      <c r="M1325" s="572"/>
      <c r="N1325" s="556"/>
      <c r="O1325" s="556"/>
    </row>
    <row r="1326" spans="3:15">
      <c r="C1326" s="548">
        <f>IF(D1265="","-",+C1325+1)</f>
        <v>2071</v>
      </c>
      <c r="D1326" s="506">
        <f t="shared" si="78"/>
        <v>0</v>
      </c>
      <c r="E1326" s="549">
        <f t="shared" si="83"/>
        <v>0</v>
      </c>
      <c r="F1326" s="506">
        <f t="shared" si="79"/>
        <v>0</v>
      </c>
      <c r="G1326" s="554">
        <f t="shared" si="80"/>
        <v>0</v>
      </c>
      <c r="H1326" s="555">
        <f t="shared" si="81"/>
        <v>0</v>
      </c>
      <c r="I1326" s="552">
        <f t="shared" si="82"/>
        <v>0</v>
      </c>
      <c r="J1326" s="552"/>
      <c r="K1326" s="572"/>
      <c r="L1326" s="556"/>
      <c r="M1326" s="572"/>
      <c r="N1326" s="556"/>
      <c r="O1326" s="556"/>
    </row>
    <row r="1327" spans="3:15">
      <c r="C1327" s="548">
        <f>IF(D1265="","-",+C1326+1)</f>
        <v>2072</v>
      </c>
      <c r="D1327" s="506">
        <f t="shared" si="78"/>
        <v>0</v>
      </c>
      <c r="E1327" s="549">
        <f t="shared" si="83"/>
        <v>0</v>
      </c>
      <c r="F1327" s="506">
        <f t="shared" si="79"/>
        <v>0</v>
      </c>
      <c r="G1327" s="554">
        <f t="shared" si="80"/>
        <v>0</v>
      </c>
      <c r="H1327" s="555">
        <f t="shared" si="81"/>
        <v>0</v>
      </c>
      <c r="I1327" s="552">
        <f t="shared" si="82"/>
        <v>0</v>
      </c>
      <c r="J1327" s="552"/>
      <c r="K1327" s="572"/>
      <c r="L1327" s="556"/>
      <c r="M1327" s="572"/>
      <c r="N1327" s="556"/>
      <c r="O1327" s="556"/>
    </row>
    <row r="1328" spans="3:15">
      <c r="C1328" s="548">
        <f>IF(D1265="","-",+C1327+1)</f>
        <v>2073</v>
      </c>
      <c r="D1328" s="506">
        <f t="shared" si="78"/>
        <v>0</v>
      </c>
      <c r="E1328" s="549">
        <f t="shared" si="83"/>
        <v>0</v>
      </c>
      <c r="F1328" s="506">
        <f t="shared" si="79"/>
        <v>0</v>
      </c>
      <c r="G1328" s="554">
        <f t="shared" si="80"/>
        <v>0</v>
      </c>
      <c r="H1328" s="555">
        <f t="shared" si="81"/>
        <v>0</v>
      </c>
      <c r="I1328" s="552">
        <f t="shared" si="82"/>
        <v>0</v>
      </c>
      <c r="J1328" s="552"/>
      <c r="K1328" s="572"/>
      <c r="L1328" s="556"/>
      <c r="M1328" s="572"/>
      <c r="N1328" s="556"/>
      <c r="O1328" s="556"/>
    </row>
    <row r="1329" spans="1:16">
      <c r="C1329" s="548">
        <f>IF(D1265="","-",+C1328+1)</f>
        <v>2074</v>
      </c>
      <c r="D1329" s="506">
        <f t="shared" si="78"/>
        <v>0</v>
      </c>
      <c r="E1329" s="549">
        <f t="shared" si="83"/>
        <v>0</v>
      </c>
      <c r="F1329" s="506">
        <f t="shared" si="79"/>
        <v>0</v>
      </c>
      <c r="G1329" s="554">
        <f t="shared" si="80"/>
        <v>0</v>
      </c>
      <c r="H1329" s="555">
        <f t="shared" si="81"/>
        <v>0</v>
      </c>
      <c r="I1329" s="552">
        <f t="shared" si="82"/>
        <v>0</v>
      </c>
      <c r="J1329" s="552"/>
      <c r="K1329" s="572"/>
      <c r="L1329" s="556"/>
      <c r="M1329" s="572"/>
      <c r="N1329" s="556"/>
      <c r="O1329" s="556"/>
    </row>
    <row r="1330" spans="1:16" ht="13.5" thickBot="1">
      <c r="C1330" s="558">
        <f>IF(D1265="","-",+C1329+1)</f>
        <v>2075</v>
      </c>
      <c r="D1330" s="559">
        <f t="shared" si="78"/>
        <v>0</v>
      </c>
      <c r="E1330" s="560">
        <f t="shared" si="83"/>
        <v>0</v>
      </c>
      <c r="F1330" s="559">
        <f t="shared" si="79"/>
        <v>0</v>
      </c>
      <c r="G1330" s="561">
        <f t="shared" si="80"/>
        <v>0</v>
      </c>
      <c r="H1330" s="561">
        <f t="shared" si="81"/>
        <v>0</v>
      </c>
      <c r="I1330" s="562">
        <f t="shared" si="82"/>
        <v>0</v>
      </c>
      <c r="J1330" s="552"/>
      <c r="K1330" s="573"/>
      <c r="L1330" s="563"/>
      <c r="M1330" s="573"/>
      <c r="N1330" s="563"/>
      <c r="O1330" s="563"/>
    </row>
    <row r="1331" spans="1:16">
      <c r="C1331" s="506" t="s">
        <v>83</v>
      </c>
      <c r="D1331" s="503"/>
      <c r="E1331" s="503">
        <f>SUM(E1271:E1330)</f>
        <v>27342437.459999997</v>
      </c>
      <c r="F1331" s="503"/>
      <c r="G1331" s="503">
        <f>SUM(G1271:G1330)</f>
        <v>98696597.008193403</v>
      </c>
      <c r="H1331" s="503">
        <f>SUM(H1271:H1330)</f>
        <v>98696597.008193403</v>
      </c>
      <c r="I1331" s="503">
        <f>SUM(I1271:I1330)</f>
        <v>0</v>
      </c>
      <c r="J1331" s="503"/>
      <c r="K1331" s="503"/>
      <c r="L1331" s="503"/>
      <c r="M1331" s="503"/>
      <c r="N1331" s="503"/>
      <c r="O1331" s="3"/>
    </row>
    <row r="1332" spans="1:16">
      <c r="D1332" s="47"/>
      <c r="E1332" s="3"/>
      <c r="F1332" s="3"/>
      <c r="G1332" s="3"/>
      <c r="H1332" s="490"/>
      <c r="I1332" s="490"/>
      <c r="J1332" s="503"/>
      <c r="K1332" s="490"/>
      <c r="L1332" s="490"/>
      <c r="M1332" s="490"/>
      <c r="N1332" s="490"/>
      <c r="O1332" s="3"/>
    </row>
    <row r="1333" spans="1:16">
      <c r="C1333" s="3" t="s">
        <v>13</v>
      </c>
      <c r="D1333" s="47"/>
      <c r="E1333" s="3"/>
      <c r="F1333" s="3"/>
      <c r="G1333" s="3"/>
      <c r="H1333" s="490"/>
      <c r="I1333" s="490"/>
      <c r="J1333" s="503"/>
      <c r="K1333" s="490"/>
      <c r="L1333" s="490"/>
      <c r="M1333" s="490"/>
      <c r="N1333" s="490"/>
      <c r="O1333" s="3"/>
    </row>
    <row r="1334" spans="1:16">
      <c r="C1334" s="3"/>
      <c r="D1334" s="47"/>
      <c r="E1334" s="3"/>
      <c r="F1334" s="3"/>
      <c r="G1334" s="3"/>
      <c r="H1334" s="490"/>
      <c r="I1334" s="490"/>
      <c r="J1334" s="503"/>
      <c r="K1334" s="490"/>
      <c r="L1334" s="490"/>
      <c r="M1334" s="490"/>
      <c r="N1334" s="490"/>
      <c r="O1334" s="3"/>
    </row>
    <row r="1335" spans="1:16">
      <c r="C1335" s="518" t="s">
        <v>14</v>
      </c>
      <c r="D1335" s="506"/>
      <c r="E1335" s="506"/>
      <c r="F1335" s="506"/>
      <c r="G1335" s="503"/>
      <c r="H1335" s="503"/>
      <c r="I1335" s="564"/>
      <c r="J1335" s="564"/>
      <c r="K1335" s="564"/>
      <c r="L1335" s="564"/>
      <c r="M1335" s="564"/>
      <c r="N1335" s="564"/>
      <c r="O1335" s="3"/>
    </row>
    <row r="1336" spans="1:16">
      <c r="C1336" s="507" t="s">
        <v>263</v>
      </c>
      <c r="D1336" s="506"/>
      <c r="E1336" s="506"/>
      <c r="F1336" s="506"/>
      <c r="G1336" s="503"/>
      <c r="H1336" s="503"/>
      <c r="I1336" s="564"/>
      <c r="J1336" s="564"/>
      <c r="K1336" s="564"/>
      <c r="L1336" s="564"/>
      <c r="M1336" s="564"/>
      <c r="N1336" s="564"/>
      <c r="O1336" s="3"/>
    </row>
    <row r="1337" spans="1:16">
      <c r="C1337" s="507" t="s">
        <v>84</v>
      </c>
      <c r="D1337" s="506"/>
      <c r="E1337" s="506"/>
      <c r="F1337" s="506"/>
      <c r="G1337" s="503"/>
      <c r="H1337" s="503"/>
      <c r="I1337" s="564"/>
      <c r="J1337" s="564"/>
      <c r="K1337" s="564"/>
      <c r="L1337" s="564"/>
      <c r="M1337" s="564"/>
      <c r="N1337" s="564"/>
      <c r="O1337" s="3"/>
    </row>
    <row r="1338" spans="1:16">
      <c r="C1338" s="507"/>
      <c r="D1338" s="506"/>
      <c r="E1338" s="506"/>
      <c r="F1338" s="506"/>
      <c r="G1338" s="503"/>
      <c r="H1338" s="503"/>
      <c r="I1338" s="564"/>
      <c r="J1338" s="564"/>
      <c r="K1338" s="564"/>
      <c r="L1338" s="564"/>
      <c r="M1338" s="564"/>
      <c r="N1338" s="564"/>
      <c r="O1338" s="3"/>
    </row>
    <row r="1339" spans="1:16">
      <c r="C1339" s="1200" t="s">
        <v>6</v>
      </c>
      <c r="D1339" s="1200"/>
      <c r="E1339" s="1200"/>
      <c r="F1339" s="1200"/>
      <c r="G1339" s="1200"/>
      <c r="H1339" s="1200"/>
      <c r="I1339" s="1200"/>
      <c r="J1339" s="1200"/>
      <c r="K1339" s="1200"/>
      <c r="L1339" s="1200"/>
      <c r="M1339" s="1200"/>
      <c r="N1339" s="1200"/>
      <c r="O1339" s="1200"/>
    </row>
    <row r="1340" spans="1:16">
      <c r="C1340" s="1200"/>
      <c r="D1340" s="1200"/>
      <c r="E1340" s="1200"/>
      <c r="F1340" s="1200"/>
      <c r="G1340" s="1200"/>
      <c r="H1340" s="1200"/>
      <c r="I1340" s="1200"/>
      <c r="J1340" s="1200"/>
      <c r="K1340" s="1200"/>
      <c r="L1340" s="1200"/>
      <c r="M1340" s="1200"/>
      <c r="N1340" s="1200"/>
      <c r="O1340" s="1200"/>
    </row>
    <row r="1341" spans="1:16">
      <c r="C1341" s="507"/>
      <c r="D1341" s="506"/>
      <c r="E1341" s="506"/>
      <c r="F1341" s="506"/>
      <c r="G1341" s="503"/>
      <c r="H1341" s="503"/>
    </row>
    <row r="1342" spans="1:16" ht="20.25">
      <c r="A1342" s="447" t="str">
        <f>""&amp;A1266&amp;" Worksheet J -  ATRR PROJECTED Calculation for PJM Projects Charged to Benefiting Zones"</f>
        <v xml:space="preserve"> Worksheet J -  ATRR PROJECTED Calculation for PJM Projects Charged to Benefiting Zones</v>
      </c>
      <c r="B1342" s="3"/>
      <c r="C1342" s="3"/>
      <c r="D1342" s="47"/>
      <c r="E1342" s="3"/>
      <c r="F1342" s="489"/>
      <c r="G1342" s="3"/>
      <c r="H1342" s="490"/>
      <c r="K1342" s="398"/>
      <c r="L1342" s="398"/>
      <c r="M1342" s="398"/>
      <c r="N1342" s="398" t="str">
        <f>"Page "&amp;SUM(P$8:P1342)&amp;" of "</f>
        <v xml:space="preserve">Page 16 of </v>
      </c>
      <c r="O1342" s="448">
        <f>COUNT(P$8:P$56653)</f>
        <v>23</v>
      </c>
      <c r="P1342">
        <v>1</v>
      </c>
    </row>
    <row r="1343" spans="1:16">
      <c r="B1343" s="3"/>
      <c r="C1343" s="3"/>
      <c r="D1343" s="47"/>
      <c r="E1343" s="3"/>
      <c r="F1343" s="3"/>
      <c r="G1343" s="3"/>
      <c r="H1343" s="490"/>
      <c r="I1343" s="3"/>
      <c r="J1343" s="3"/>
      <c r="K1343" s="3"/>
      <c r="L1343" s="3"/>
      <c r="M1343" s="3"/>
      <c r="N1343" s="3"/>
      <c r="O1343" s="3"/>
    </row>
    <row r="1344" spans="1:16" ht="18">
      <c r="B1344" s="449" t="s">
        <v>464</v>
      </c>
      <c r="C1344" s="122" t="s">
        <v>85</v>
      </c>
      <c r="D1344" s="47"/>
      <c r="E1344" s="3"/>
      <c r="F1344" s="3"/>
      <c r="G1344" s="3"/>
      <c r="H1344" s="490"/>
      <c r="I1344" s="490"/>
      <c r="J1344" s="503"/>
      <c r="K1344" s="490"/>
      <c r="L1344" s="490"/>
      <c r="M1344" s="490"/>
      <c r="N1344" s="490"/>
      <c r="O1344" s="3"/>
    </row>
    <row r="1345" spans="2:15" ht="18.75">
      <c r="B1345" s="449"/>
      <c r="C1345" s="6"/>
      <c r="D1345" s="47"/>
      <c r="E1345" s="3"/>
      <c r="F1345" s="3"/>
      <c r="G1345" s="3"/>
      <c r="H1345" s="490"/>
      <c r="I1345" s="490"/>
      <c r="J1345" s="503"/>
      <c r="K1345" s="490"/>
      <c r="L1345" s="490"/>
      <c r="M1345" s="490"/>
      <c r="N1345" s="490"/>
      <c r="O1345" s="3"/>
    </row>
    <row r="1346" spans="2:15" ht="18.75">
      <c r="B1346" s="449"/>
      <c r="C1346" s="6" t="s">
        <v>86</v>
      </c>
      <c r="D1346" s="47"/>
      <c r="E1346" s="3"/>
      <c r="F1346" s="3"/>
      <c r="G1346" s="3"/>
      <c r="H1346" s="490"/>
      <c r="I1346" s="490"/>
      <c r="J1346" s="503"/>
      <c r="K1346" s="490"/>
      <c r="L1346" s="490"/>
      <c r="M1346" s="490"/>
      <c r="N1346" s="490"/>
      <c r="O1346" s="3"/>
    </row>
    <row r="1347" spans="2:15" ht="15.75" thickBot="1">
      <c r="C1347" s="131"/>
      <c r="D1347" s="47"/>
      <c r="E1347" s="3"/>
      <c r="F1347" s="3"/>
      <c r="G1347" s="3"/>
      <c r="H1347" s="490"/>
      <c r="I1347" s="490"/>
      <c r="J1347" s="503"/>
      <c r="K1347" s="490"/>
      <c r="L1347" s="490"/>
      <c r="M1347" s="490"/>
      <c r="N1347" s="490"/>
      <c r="O1347" s="3"/>
    </row>
    <row r="1348" spans="2:15" ht="15.75">
      <c r="C1348" s="451" t="s">
        <v>87</v>
      </c>
      <c r="D1348" s="47"/>
      <c r="E1348" s="3"/>
      <c r="F1348" s="3"/>
      <c r="G1348" s="566"/>
      <c r="H1348" s="3" t="s">
        <v>66</v>
      </c>
      <c r="I1348" s="3"/>
      <c r="J1348" s="3"/>
      <c r="K1348" s="509" t="s">
        <v>91</v>
      </c>
      <c r="L1348" s="510"/>
      <c r="M1348" s="511"/>
      <c r="N1348" s="512">
        <f>IF(I1354=0,0,VLOOKUP(I1354,C1361:O1420,5))</f>
        <v>809797.60776034975</v>
      </c>
      <c r="O1348" s="3"/>
    </row>
    <row r="1349" spans="2:15" ht="15.75">
      <c r="C1349" s="451"/>
      <c r="D1349" s="47"/>
      <c r="E1349" s="3"/>
      <c r="F1349" s="3"/>
      <c r="G1349" s="3"/>
      <c r="H1349" s="513"/>
      <c r="I1349" s="513"/>
      <c r="J1349" s="514"/>
      <c r="K1349" s="515" t="s">
        <v>92</v>
      </c>
      <c r="L1349" s="516"/>
      <c r="M1349" s="3"/>
      <c r="N1349" s="517">
        <f>IF(I1354=0,0,VLOOKUP(I1354,C1361:O1420,6))</f>
        <v>809797.60776034975</v>
      </c>
      <c r="O1349" s="3"/>
    </row>
    <row r="1350" spans="2:15" ht="13.5" customHeight="1" thickBot="1">
      <c r="C1350" s="518" t="s">
        <v>88</v>
      </c>
      <c r="D1350" s="1194" t="s">
        <v>818</v>
      </c>
      <c r="E1350" s="1194"/>
      <c r="F1350" s="1194"/>
      <c r="G1350" s="1194"/>
      <c r="H1350" s="1194"/>
      <c r="I1350" s="1194"/>
      <c r="J1350" s="503"/>
      <c r="K1350" s="519" t="s">
        <v>230</v>
      </c>
      <c r="L1350" s="520"/>
      <c r="M1350" s="520"/>
      <c r="N1350" s="521">
        <f>+N1349-N1348</f>
        <v>0</v>
      </c>
      <c r="O1350" s="3"/>
    </row>
    <row r="1351" spans="2:15">
      <c r="C1351" s="522"/>
      <c r="D1351" s="1194"/>
      <c r="E1351" s="1194"/>
      <c r="F1351" s="1194"/>
      <c r="G1351" s="1194"/>
      <c r="H1351" s="1194"/>
      <c r="I1351" s="1194"/>
      <c r="J1351" s="503"/>
      <c r="K1351" s="490"/>
      <c r="L1351" s="490"/>
      <c r="M1351" s="490"/>
      <c r="N1351" s="490"/>
      <c r="O1351" s="3"/>
    </row>
    <row r="1352" spans="2:15" ht="13.5" thickBot="1">
      <c r="C1352" s="522"/>
      <c r="D1352" s="3"/>
      <c r="E1352" s="524"/>
      <c r="F1352" s="524"/>
      <c r="G1352" s="524"/>
      <c r="H1352" s="524"/>
      <c r="I1352" s="524"/>
      <c r="J1352" s="524"/>
      <c r="K1352" s="524"/>
      <c r="L1352" s="524"/>
      <c r="M1352" s="524"/>
      <c r="N1352" s="524"/>
      <c r="O1352" s="3"/>
    </row>
    <row r="1353" spans="2:15" ht="13.5" thickBot="1">
      <c r="C1353" s="525" t="s">
        <v>89</v>
      </c>
      <c r="D1353" s="526"/>
      <c r="E1353" s="526"/>
      <c r="F1353" s="526"/>
      <c r="G1353" s="526"/>
      <c r="H1353" s="526"/>
      <c r="I1353" s="527"/>
      <c r="K1353" s="3"/>
      <c r="L1353" s="3"/>
      <c r="M1353" s="3"/>
      <c r="N1353" s="3"/>
      <c r="O1353" s="3"/>
    </row>
    <row r="1354" spans="2:15" ht="15">
      <c r="C1354" s="528" t="s">
        <v>67</v>
      </c>
      <c r="D1354" s="568">
        <v>6215397.6500000004</v>
      </c>
      <c r="E1354" s="3" t="s">
        <v>68</v>
      </c>
      <c r="G1354" s="47"/>
      <c r="H1354" s="47"/>
      <c r="I1354" s="529">
        <f>$L$26</f>
        <v>2026</v>
      </c>
      <c r="J1354" s="70"/>
      <c r="K1354" s="1193" t="s">
        <v>239</v>
      </c>
      <c r="L1354" s="1193"/>
      <c r="M1354" s="1193"/>
      <c r="N1354" s="1193"/>
      <c r="O1354" s="1193"/>
    </row>
    <row r="1355" spans="2:15">
      <c r="C1355" s="528" t="s">
        <v>70</v>
      </c>
      <c r="D1355" s="569">
        <v>2015</v>
      </c>
      <c r="E1355" s="528" t="s">
        <v>71</v>
      </c>
      <c r="F1355" s="47"/>
      <c r="H1355"/>
      <c r="I1355" s="570">
        <f>IF(G1348="",0,$F$17)</f>
        <v>0</v>
      </c>
      <c r="J1355" s="530"/>
      <c r="K1355" s="503" t="s">
        <v>239</v>
      </c>
    </row>
    <row r="1356" spans="2:15">
      <c r="C1356" s="528" t="s">
        <v>72</v>
      </c>
      <c r="D1356" s="568">
        <v>6</v>
      </c>
      <c r="E1356" s="528" t="s">
        <v>73</v>
      </c>
      <c r="F1356" s="47"/>
      <c r="H1356"/>
      <c r="I1356" s="531">
        <f>$G$70</f>
        <v>0.14912278949438812</v>
      </c>
      <c r="J1356" s="489"/>
      <c r="K1356" t="str">
        <f>"          INPUT PROJECTED ARR (WITH &amp; WITHOUT INCENTIVES) FROM EACH PRIOR YEAR"</f>
        <v xml:space="preserve">          INPUT PROJECTED ARR (WITH &amp; WITHOUT INCENTIVES) FROM EACH PRIOR YEAR</v>
      </c>
    </row>
    <row r="1357" spans="2:15">
      <c r="C1357" s="528" t="s">
        <v>74</v>
      </c>
      <c r="D1357" s="532">
        <f>$G$79</f>
        <v>34</v>
      </c>
      <c r="E1357" s="528" t="s">
        <v>75</v>
      </c>
      <c r="F1357" s="47"/>
      <c r="H1357"/>
      <c r="I1357" s="531">
        <f>IF(G1348="",I1356,$G$69)</f>
        <v>0.14912278949438812</v>
      </c>
      <c r="J1357" s="489"/>
      <c r="K1357" t="s">
        <v>152</v>
      </c>
    </row>
    <row r="1358" spans="2:15" ht="13.5" thickBot="1">
      <c r="C1358" s="528" t="s">
        <v>76</v>
      </c>
      <c r="D1358" s="567" t="s">
        <v>802</v>
      </c>
      <c r="E1358" s="533" t="s">
        <v>77</v>
      </c>
      <c r="F1358" s="534"/>
      <c r="G1358" s="535"/>
      <c r="H1358" s="535"/>
      <c r="I1358" s="521">
        <f>IF(D1354=0,0,D1354/D1357)</f>
        <v>182805.81323529413</v>
      </c>
      <c r="J1358" s="503"/>
      <c r="K1358" s="503" t="s">
        <v>158</v>
      </c>
      <c r="L1358" s="503"/>
      <c r="M1358" s="503"/>
      <c r="N1358" s="503"/>
      <c r="O1358" s="3"/>
    </row>
    <row r="1359" spans="2:15" ht="38.25">
      <c r="B1359" s="450"/>
      <c r="C1359" s="536" t="s">
        <v>67</v>
      </c>
      <c r="D1359" s="537" t="s">
        <v>78</v>
      </c>
      <c r="E1359" s="538" t="s">
        <v>79</v>
      </c>
      <c r="F1359" s="537" t="s">
        <v>80</v>
      </c>
      <c r="G1359" s="538" t="s">
        <v>151</v>
      </c>
      <c r="H1359" s="539" t="s">
        <v>151</v>
      </c>
      <c r="I1359" s="536" t="s">
        <v>90</v>
      </c>
      <c r="J1359" s="540"/>
      <c r="K1359" s="538" t="s">
        <v>160</v>
      </c>
      <c r="L1359" s="541"/>
      <c r="M1359" s="538" t="s">
        <v>160</v>
      </c>
      <c r="N1359" s="541"/>
      <c r="O1359" s="541"/>
    </row>
    <row r="1360" spans="2:15" ht="13.5" thickBot="1">
      <c r="C1360" s="542" t="s">
        <v>467</v>
      </c>
      <c r="D1360" s="543" t="s">
        <v>468</v>
      </c>
      <c r="E1360" s="542" t="s">
        <v>361</v>
      </c>
      <c r="F1360" s="543" t="s">
        <v>468</v>
      </c>
      <c r="G1360" s="544" t="s">
        <v>93</v>
      </c>
      <c r="H1360" s="545" t="s">
        <v>95</v>
      </c>
      <c r="I1360" s="542" t="s">
        <v>15</v>
      </c>
      <c r="J1360" s="546"/>
      <c r="K1360" s="544" t="s">
        <v>82</v>
      </c>
      <c r="L1360" s="547"/>
      <c r="M1360" s="544" t="s">
        <v>95</v>
      </c>
      <c r="N1360" s="547"/>
      <c r="O1360" s="547"/>
    </row>
    <row r="1361" spans="3:15">
      <c r="C1361" s="548">
        <f>IF(D1355= "","-",D1355)</f>
        <v>2015</v>
      </c>
      <c r="D1361" s="506">
        <f>+D1354</f>
        <v>6215397.6500000004</v>
      </c>
      <c r="E1361" s="549">
        <f>+I1358/12*(12-D1356)</f>
        <v>91402.906617647066</v>
      </c>
      <c r="F1361" s="506">
        <f>+D1361-E1361</f>
        <v>6123994.7433823533</v>
      </c>
      <c r="G1361" s="723">
        <f>+$I$96*((D1361+F1361)/2)+E1361</f>
        <v>1011445.2138011524</v>
      </c>
      <c r="H1361" s="724">
        <f>$I$97*((D1361+F1361)/2)+E1361</f>
        <v>1011445.2138011524</v>
      </c>
      <c r="I1361" s="552">
        <f>+H1361-G1361</f>
        <v>0</v>
      </c>
      <c r="J1361" s="552"/>
      <c r="K1361" s="571">
        <v>643594</v>
      </c>
      <c r="L1361" s="553"/>
      <c r="M1361" s="571">
        <v>643594</v>
      </c>
      <c r="N1361" s="553"/>
      <c r="O1361" s="553"/>
    </row>
    <row r="1362" spans="3:15">
      <c r="C1362" s="548">
        <f>IF(D1355="","-",+C1361+1)</f>
        <v>2016</v>
      </c>
      <c r="D1362" s="506">
        <f t="shared" ref="D1362:D1420" si="84">F1361</f>
        <v>6123994.7433823533</v>
      </c>
      <c r="E1362" s="549">
        <f>IF(D1362&gt;$I$1358,$I$1358,D1362)</f>
        <v>182805.81323529413</v>
      </c>
      <c r="F1362" s="506">
        <f t="shared" ref="F1362:F1420" si="85">+D1362-E1362</f>
        <v>5941188.9301470593</v>
      </c>
      <c r="G1362" s="554">
        <f t="shared" ref="G1362:G1420" si="86">+$I$96*((D1362+F1362)/2)+E1362</f>
        <v>1082402.7358147216</v>
      </c>
      <c r="H1362" s="555">
        <f t="shared" ref="H1362:H1420" si="87">$I$97*((D1362+F1362)/2)+E1362</f>
        <v>1082402.7358147216</v>
      </c>
      <c r="I1362" s="552">
        <f t="shared" ref="I1362:I1420" si="88">+H1362-G1362</f>
        <v>0</v>
      </c>
      <c r="J1362" s="552"/>
      <c r="K1362" s="572">
        <v>866696</v>
      </c>
      <c r="L1362" s="556"/>
      <c r="M1362" s="572">
        <v>866696</v>
      </c>
      <c r="N1362" s="556"/>
      <c r="O1362" s="556"/>
    </row>
    <row r="1363" spans="3:15">
      <c r="C1363" s="548">
        <f>IF(D1355="","-",+C1362+1)</f>
        <v>2017</v>
      </c>
      <c r="D1363" s="506">
        <f t="shared" si="84"/>
        <v>5941188.9301470593</v>
      </c>
      <c r="E1363" s="549">
        <f t="shared" ref="E1363:E1420" si="89">IF(D1363&gt;$I$1358,$I$1358,D1363)</f>
        <v>182805.81323529413</v>
      </c>
      <c r="F1363" s="506">
        <f t="shared" si="85"/>
        <v>5758383.1169117652</v>
      </c>
      <c r="G1363" s="554">
        <f t="shared" si="86"/>
        <v>1055142.2230092844</v>
      </c>
      <c r="H1363" s="555">
        <f t="shared" si="87"/>
        <v>1055142.2230092844</v>
      </c>
      <c r="I1363" s="552">
        <f t="shared" si="88"/>
        <v>0</v>
      </c>
      <c r="J1363" s="552"/>
      <c r="K1363" s="572">
        <v>1077982</v>
      </c>
      <c r="L1363" s="556"/>
      <c r="M1363" s="572">
        <v>1077982</v>
      </c>
      <c r="N1363" s="556"/>
      <c r="O1363" s="556"/>
    </row>
    <row r="1364" spans="3:15">
      <c r="C1364" s="974">
        <f>IF(D1355="","-",+C1363+1)</f>
        <v>2018</v>
      </c>
      <c r="D1364" s="506">
        <f t="shared" si="84"/>
        <v>5758383.1169117652</v>
      </c>
      <c r="E1364" s="549">
        <f t="shared" si="89"/>
        <v>182805.81323529413</v>
      </c>
      <c r="F1364" s="506">
        <f t="shared" si="85"/>
        <v>5575577.3036764711</v>
      </c>
      <c r="G1364" s="554">
        <f t="shared" si="86"/>
        <v>1027881.7102038471</v>
      </c>
      <c r="H1364" s="555">
        <f t="shared" si="87"/>
        <v>1027881.7102038471</v>
      </c>
      <c r="I1364" s="552">
        <f t="shared" si="88"/>
        <v>0</v>
      </c>
      <c r="J1364" s="552"/>
      <c r="K1364" s="572">
        <v>958607</v>
      </c>
      <c r="L1364" s="556"/>
      <c r="M1364" s="572">
        <v>958607</v>
      </c>
      <c r="N1364" s="556"/>
      <c r="O1364" s="556"/>
    </row>
    <row r="1365" spans="3:15">
      <c r="C1365" s="974">
        <f>IF(D1355="","-",+C1364+1)</f>
        <v>2019</v>
      </c>
      <c r="D1365" s="506">
        <f t="shared" si="84"/>
        <v>5575577.3036764711</v>
      </c>
      <c r="E1365" s="549">
        <f t="shared" si="89"/>
        <v>182805.81323529413</v>
      </c>
      <c r="F1365" s="506">
        <f t="shared" si="85"/>
        <v>5392771.490441177</v>
      </c>
      <c r="G1365" s="554">
        <f t="shared" si="86"/>
        <v>1000621.1973984099</v>
      </c>
      <c r="H1365" s="555">
        <f t="shared" si="87"/>
        <v>1000621.1973984099</v>
      </c>
      <c r="I1365" s="552">
        <f t="shared" si="88"/>
        <v>0</v>
      </c>
      <c r="J1365" s="552"/>
      <c r="K1365" s="572">
        <v>983630.204335046</v>
      </c>
      <c r="L1365" s="556"/>
      <c r="M1365" s="572">
        <v>983630.204335046</v>
      </c>
      <c r="N1365" s="556"/>
      <c r="O1365" s="556"/>
    </row>
    <row r="1366" spans="3:15">
      <c r="C1366" s="974">
        <f>IF(D1355="","-",+C1365+1)</f>
        <v>2020</v>
      </c>
      <c r="D1366" s="506">
        <f t="shared" si="84"/>
        <v>5392771.490441177</v>
      </c>
      <c r="E1366" s="549">
        <f t="shared" si="89"/>
        <v>182805.81323529413</v>
      </c>
      <c r="F1366" s="506">
        <f t="shared" si="85"/>
        <v>5209965.677205883</v>
      </c>
      <c r="G1366" s="554">
        <f t="shared" si="86"/>
        <v>973360.68459297274</v>
      </c>
      <c r="H1366" s="555">
        <f t="shared" si="87"/>
        <v>973360.68459297274</v>
      </c>
      <c r="I1366" s="552">
        <f t="shared" si="88"/>
        <v>0</v>
      </c>
      <c r="J1366" s="552"/>
      <c r="K1366" s="572">
        <v>1031480.592152703</v>
      </c>
      <c r="L1366" s="556"/>
      <c r="M1366" s="572">
        <v>1031480.592152703</v>
      </c>
      <c r="N1366" s="556"/>
      <c r="O1366" s="556"/>
    </row>
    <row r="1367" spans="3:15">
      <c r="C1367" s="974">
        <f>IF(D1355="","-",+C1366+1)</f>
        <v>2021</v>
      </c>
      <c r="D1367" s="506">
        <f t="shared" si="84"/>
        <v>5209965.677205883</v>
      </c>
      <c r="E1367" s="549">
        <f t="shared" si="89"/>
        <v>182805.81323529413</v>
      </c>
      <c r="F1367" s="506">
        <f t="shared" si="85"/>
        <v>5027159.8639705889</v>
      </c>
      <c r="G1367" s="554">
        <f t="shared" si="86"/>
        <v>946100.17178753577</v>
      </c>
      <c r="H1367" s="555">
        <f t="shared" si="87"/>
        <v>946100.17178753577</v>
      </c>
      <c r="I1367" s="552">
        <f t="shared" si="88"/>
        <v>0</v>
      </c>
      <c r="J1367" s="552"/>
      <c r="K1367" s="572">
        <v>932834.71116654528</v>
      </c>
      <c r="L1367" s="556"/>
      <c r="M1367" s="572">
        <v>932834.71116654528</v>
      </c>
      <c r="N1367" s="556"/>
      <c r="O1367" s="556"/>
    </row>
    <row r="1368" spans="3:15">
      <c r="C1368" s="974">
        <f>IF(D1355="","-",+C1367+1)</f>
        <v>2022</v>
      </c>
      <c r="D1368" s="506">
        <f t="shared" si="84"/>
        <v>5027159.8639705889</v>
      </c>
      <c r="E1368" s="549">
        <f t="shared" si="89"/>
        <v>182805.81323529413</v>
      </c>
      <c r="F1368" s="506">
        <f t="shared" si="85"/>
        <v>4844354.0507352948</v>
      </c>
      <c r="G1368" s="554">
        <f t="shared" si="86"/>
        <v>918839.65898209857</v>
      </c>
      <c r="H1368" s="555">
        <f t="shared" si="87"/>
        <v>918839.65898209857</v>
      </c>
      <c r="I1368" s="552">
        <f t="shared" si="88"/>
        <v>0</v>
      </c>
      <c r="J1368" s="552"/>
      <c r="K1368" s="572">
        <v>932129.76158471475</v>
      </c>
      <c r="L1368" s="556"/>
      <c r="M1368" s="572">
        <v>932129.76158471475</v>
      </c>
      <c r="N1368" s="556"/>
      <c r="O1368" s="556"/>
    </row>
    <row r="1369" spans="3:15">
      <c r="C1369" s="974">
        <f>IF(D1355="","-",+C1368+1)</f>
        <v>2023</v>
      </c>
      <c r="D1369" s="506">
        <f t="shared" si="84"/>
        <v>4844354.0507352948</v>
      </c>
      <c r="E1369" s="549">
        <f t="shared" si="89"/>
        <v>182805.81323529413</v>
      </c>
      <c r="F1369" s="506">
        <f t="shared" si="85"/>
        <v>4661548.2375000007</v>
      </c>
      <c r="G1369" s="554">
        <f t="shared" si="86"/>
        <v>891579.14617666136</v>
      </c>
      <c r="H1369" s="555">
        <f t="shared" si="87"/>
        <v>891579.14617666136</v>
      </c>
      <c r="I1369" s="552">
        <f t="shared" si="88"/>
        <v>0</v>
      </c>
      <c r="J1369" s="552"/>
      <c r="K1369" s="572">
        <v>909124.16314270871</v>
      </c>
      <c r="L1369" s="556"/>
      <c r="M1369" s="572">
        <v>909124.16314270871</v>
      </c>
      <c r="N1369" s="556"/>
      <c r="O1369" s="556"/>
    </row>
    <row r="1370" spans="3:15">
      <c r="C1370" s="548">
        <f>IF(D1355="","-",+C1369+1)</f>
        <v>2024</v>
      </c>
      <c r="D1370" s="506">
        <f t="shared" si="84"/>
        <v>4661548.2375000007</v>
      </c>
      <c r="E1370" s="549">
        <f t="shared" si="89"/>
        <v>182805.81323529413</v>
      </c>
      <c r="F1370" s="506">
        <f t="shared" si="85"/>
        <v>4478742.4242647067</v>
      </c>
      <c r="G1370" s="554">
        <f t="shared" si="86"/>
        <v>864318.63337122416</v>
      </c>
      <c r="H1370" s="555">
        <f t="shared" si="87"/>
        <v>864318.63337122416</v>
      </c>
      <c r="I1370" s="552">
        <f t="shared" si="88"/>
        <v>0</v>
      </c>
      <c r="J1370" s="552"/>
      <c r="K1370" s="572">
        <v>868555.44834392809</v>
      </c>
      <c r="L1370" s="556"/>
      <c r="M1370" s="572">
        <v>868555.44834392809</v>
      </c>
      <c r="N1370" s="556"/>
      <c r="O1370" s="556"/>
    </row>
    <row r="1371" spans="3:15">
      <c r="C1371" s="548">
        <f>IF(D1355="","-",+C1370+1)</f>
        <v>2025</v>
      </c>
      <c r="D1371" s="506">
        <f t="shared" si="84"/>
        <v>4478742.4242647067</v>
      </c>
      <c r="E1371" s="549">
        <f t="shared" si="89"/>
        <v>182805.81323529413</v>
      </c>
      <c r="F1371" s="506">
        <f t="shared" si="85"/>
        <v>4295936.6110294126</v>
      </c>
      <c r="G1371" s="554">
        <f t="shared" si="86"/>
        <v>837058.12056578696</v>
      </c>
      <c r="H1371" s="555">
        <f t="shared" si="87"/>
        <v>837058.12056578696</v>
      </c>
      <c r="I1371" s="552">
        <f t="shared" si="88"/>
        <v>0</v>
      </c>
      <c r="J1371" s="552"/>
      <c r="K1371" s="572">
        <v>839471.97829979181</v>
      </c>
      <c r="L1371" s="556"/>
      <c r="M1371" s="572">
        <v>839471.97829979181</v>
      </c>
      <c r="N1371" s="556"/>
      <c r="O1371" s="556"/>
    </row>
    <row r="1372" spans="3:15">
      <c r="C1372" s="955">
        <f>IF(D1355="","-",+C1371+1)</f>
        <v>2026</v>
      </c>
      <c r="D1372" s="506">
        <f t="shared" si="84"/>
        <v>4295936.6110294126</v>
      </c>
      <c r="E1372" s="549">
        <f t="shared" si="89"/>
        <v>182805.81323529413</v>
      </c>
      <c r="F1372" s="506">
        <f t="shared" si="85"/>
        <v>4113130.7977941185</v>
      </c>
      <c r="G1372" s="554">
        <f t="shared" si="86"/>
        <v>809797.60776034975</v>
      </c>
      <c r="H1372" s="555">
        <f t="shared" si="87"/>
        <v>809797.60776034975</v>
      </c>
      <c r="I1372" s="552">
        <f t="shared" si="88"/>
        <v>0</v>
      </c>
      <c r="J1372" s="552"/>
      <c r="K1372" s="572"/>
      <c r="L1372" s="556"/>
      <c r="M1372" s="572"/>
      <c r="N1372" s="556"/>
      <c r="O1372" s="556"/>
    </row>
    <row r="1373" spans="3:15">
      <c r="C1373" s="548">
        <f>IF(D1355="","-",+C1372+1)</f>
        <v>2027</v>
      </c>
      <c r="D1373" s="506">
        <f t="shared" si="84"/>
        <v>4113130.7977941185</v>
      </c>
      <c r="E1373" s="549">
        <f t="shared" si="89"/>
        <v>182805.81323529413</v>
      </c>
      <c r="F1373" s="506">
        <f t="shared" si="85"/>
        <v>3930324.9845588244</v>
      </c>
      <c r="G1373" s="554">
        <f t="shared" si="86"/>
        <v>782537.09495491255</v>
      </c>
      <c r="H1373" s="555">
        <f t="shared" si="87"/>
        <v>782537.09495491255</v>
      </c>
      <c r="I1373" s="552">
        <f t="shared" si="88"/>
        <v>0</v>
      </c>
      <c r="J1373" s="552"/>
      <c r="K1373" s="572"/>
      <c r="L1373" s="556"/>
      <c r="M1373" s="572"/>
      <c r="N1373" s="557"/>
      <c r="O1373" s="556"/>
    </row>
    <row r="1374" spans="3:15">
      <c r="C1374" s="548">
        <f>IF(D1355="","-",+C1373+1)</f>
        <v>2028</v>
      </c>
      <c r="D1374" s="506">
        <f t="shared" si="84"/>
        <v>3930324.9845588244</v>
      </c>
      <c r="E1374" s="549">
        <f t="shared" si="89"/>
        <v>182805.81323529413</v>
      </c>
      <c r="F1374" s="506">
        <f t="shared" si="85"/>
        <v>3747519.1713235304</v>
      </c>
      <c r="G1374" s="554">
        <f t="shared" si="86"/>
        <v>755276.58214947535</v>
      </c>
      <c r="H1374" s="555">
        <f t="shared" si="87"/>
        <v>755276.58214947535</v>
      </c>
      <c r="I1374" s="552">
        <f t="shared" si="88"/>
        <v>0</v>
      </c>
      <c r="J1374" s="552"/>
      <c r="K1374" s="572"/>
      <c r="L1374" s="556"/>
      <c r="M1374" s="572"/>
      <c r="N1374" s="556"/>
      <c r="O1374" s="556"/>
    </row>
    <row r="1375" spans="3:15">
      <c r="C1375" s="548">
        <f>IF(D1355="","-",+C1374+1)</f>
        <v>2029</v>
      </c>
      <c r="D1375" s="506">
        <f t="shared" si="84"/>
        <v>3747519.1713235304</v>
      </c>
      <c r="E1375" s="549">
        <f t="shared" si="89"/>
        <v>182805.81323529413</v>
      </c>
      <c r="F1375" s="506">
        <f t="shared" si="85"/>
        <v>3564713.3580882363</v>
      </c>
      <c r="G1375" s="554">
        <f t="shared" si="86"/>
        <v>728016.06934403814</v>
      </c>
      <c r="H1375" s="555">
        <f t="shared" si="87"/>
        <v>728016.06934403814</v>
      </c>
      <c r="I1375" s="552">
        <f t="shared" si="88"/>
        <v>0</v>
      </c>
      <c r="J1375" s="552"/>
      <c r="K1375" s="572"/>
      <c r="L1375" s="556"/>
      <c r="M1375" s="572"/>
      <c r="N1375" s="556"/>
      <c r="O1375" s="556"/>
    </row>
    <row r="1376" spans="3:15">
      <c r="C1376" s="548">
        <f>IF(D1355="","-",+C1375+1)</f>
        <v>2030</v>
      </c>
      <c r="D1376" s="506">
        <f t="shared" si="84"/>
        <v>3564713.3580882363</v>
      </c>
      <c r="E1376" s="549">
        <f t="shared" si="89"/>
        <v>182805.81323529413</v>
      </c>
      <c r="F1376" s="506">
        <f t="shared" si="85"/>
        <v>3381907.5448529422</v>
      </c>
      <c r="G1376" s="554">
        <f t="shared" si="86"/>
        <v>700755.55653860094</v>
      </c>
      <c r="H1376" s="555">
        <f t="shared" si="87"/>
        <v>700755.55653860094</v>
      </c>
      <c r="I1376" s="552">
        <f t="shared" si="88"/>
        <v>0</v>
      </c>
      <c r="J1376" s="552"/>
      <c r="K1376" s="572"/>
      <c r="L1376" s="556"/>
      <c r="M1376" s="572"/>
      <c r="N1376" s="556"/>
      <c r="O1376" s="556"/>
    </row>
    <row r="1377" spans="3:15">
      <c r="C1377" s="548">
        <f>IF(D1355="","-",+C1376+1)</f>
        <v>2031</v>
      </c>
      <c r="D1377" s="506">
        <f t="shared" si="84"/>
        <v>3381907.5448529422</v>
      </c>
      <c r="E1377" s="549">
        <f t="shared" si="89"/>
        <v>182805.81323529413</v>
      </c>
      <c r="F1377" s="506">
        <f t="shared" si="85"/>
        <v>3199101.7316176482</v>
      </c>
      <c r="G1377" s="554">
        <f t="shared" si="86"/>
        <v>673495.04373316374</v>
      </c>
      <c r="H1377" s="555">
        <f t="shared" si="87"/>
        <v>673495.04373316374</v>
      </c>
      <c r="I1377" s="552">
        <f t="shared" si="88"/>
        <v>0</v>
      </c>
      <c r="J1377" s="552"/>
      <c r="K1377" s="572"/>
      <c r="L1377" s="556"/>
      <c r="M1377" s="572"/>
      <c r="N1377" s="556"/>
      <c r="O1377" s="556"/>
    </row>
    <row r="1378" spans="3:15">
      <c r="C1378" s="548">
        <f>IF(D1355="","-",+C1377+1)</f>
        <v>2032</v>
      </c>
      <c r="D1378" s="506">
        <f t="shared" si="84"/>
        <v>3199101.7316176482</v>
      </c>
      <c r="E1378" s="549">
        <f t="shared" si="89"/>
        <v>182805.81323529413</v>
      </c>
      <c r="F1378" s="506">
        <f t="shared" si="85"/>
        <v>3016295.9183823541</v>
      </c>
      <c r="G1378" s="554">
        <f t="shared" si="86"/>
        <v>646234.53092772653</v>
      </c>
      <c r="H1378" s="555">
        <f t="shared" si="87"/>
        <v>646234.53092772653</v>
      </c>
      <c r="I1378" s="552">
        <f t="shared" si="88"/>
        <v>0</v>
      </c>
      <c r="J1378" s="552"/>
      <c r="K1378" s="572"/>
      <c r="L1378" s="556"/>
      <c r="M1378" s="572"/>
      <c r="N1378" s="556"/>
      <c r="O1378" s="556"/>
    </row>
    <row r="1379" spans="3:15">
      <c r="C1379" s="548">
        <f>IF(D1355="","-",+C1378+1)</f>
        <v>2033</v>
      </c>
      <c r="D1379" s="506">
        <f t="shared" si="84"/>
        <v>3016295.9183823541</v>
      </c>
      <c r="E1379" s="549">
        <f t="shared" si="89"/>
        <v>182805.81323529413</v>
      </c>
      <c r="F1379" s="506">
        <f t="shared" si="85"/>
        <v>2833490.10514706</v>
      </c>
      <c r="G1379" s="554">
        <f t="shared" si="86"/>
        <v>618974.01812228933</v>
      </c>
      <c r="H1379" s="555">
        <f t="shared" si="87"/>
        <v>618974.01812228933</v>
      </c>
      <c r="I1379" s="552">
        <f t="shared" si="88"/>
        <v>0</v>
      </c>
      <c r="J1379" s="552"/>
      <c r="K1379" s="572"/>
      <c r="L1379" s="556"/>
      <c r="M1379" s="572"/>
      <c r="N1379" s="556"/>
      <c r="O1379" s="556"/>
    </row>
    <row r="1380" spans="3:15">
      <c r="C1380" s="548">
        <f>IF(D1355="","-",+C1379+1)</f>
        <v>2034</v>
      </c>
      <c r="D1380" s="506">
        <f t="shared" si="84"/>
        <v>2833490.10514706</v>
      </c>
      <c r="E1380" s="549">
        <f t="shared" si="89"/>
        <v>182805.81323529413</v>
      </c>
      <c r="F1380" s="506">
        <f t="shared" si="85"/>
        <v>2650684.2919117659</v>
      </c>
      <c r="G1380" s="554">
        <f t="shared" si="86"/>
        <v>591713.50531685224</v>
      </c>
      <c r="H1380" s="555">
        <f t="shared" si="87"/>
        <v>591713.50531685224</v>
      </c>
      <c r="I1380" s="552">
        <f t="shared" si="88"/>
        <v>0</v>
      </c>
      <c r="J1380" s="552"/>
      <c r="K1380" s="572"/>
      <c r="L1380" s="556"/>
      <c r="M1380" s="572"/>
      <c r="N1380" s="556"/>
      <c r="O1380" s="556"/>
    </row>
    <row r="1381" spans="3:15">
      <c r="C1381" s="548">
        <f>IF(D1355="","-",+C1380+1)</f>
        <v>2035</v>
      </c>
      <c r="D1381" s="506">
        <f t="shared" si="84"/>
        <v>2650684.2919117659</v>
      </c>
      <c r="E1381" s="549">
        <f t="shared" si="89"/>
        <v>182805.81323529413</v>
      </c>
      <c r="F1381" s="506">
        <f t="shared" si="85"/>
        <v>2467878.4786764719</v>
      </c>
      <c r="G1381" s="554">
        <f t="shared" si="86"/>
        <v>564452.99251141504</v>
      </c>
      <c r="H1381" s="555">
        <f t="shared" si="87"/>
        <v>564452.99251141504</v>
      </c>
      <c r="I1381" s="552">
        <f t="shared" si="88"/>
        <v>0</v>
      </c>
      <c r="J1381" s="552"/>
      <c r="K1381" s="572"/>
      <c r="L1381" s="556"/>
      <c r="M1381" s="572"/>
      <c r="N1381" s="556"/>
      <c r="O1381" s="556"/>
    </row>
    <row r="1382" spans="3:15">
      <c r="C1382" s="548">
        <f>IF(D1355="","-",+C1381+1)</f>
        <v>2036</v>
      </c>
      <c r="D1382" s="506">
        <f t="shared" si="84"/>
        <v>2467878.4786764719</v>
      </c>
      <c r="E1382" s="549">
        <f t="shared" si="89"/>
        <v>182805.81323529413</v>
      </c>
      <c r="F1382" s="506">
        <f t="shared" si="85"/>
        <v>2285072.6654411778</v>
      </c>
      <c r="G1382" s="554">
        <f t="shared" si="86"/>
        <v>537192.47970597784</v>
      </c>
      <c r="H1382" s="555">
        <f t="shared" si="87"/>
        <v>537192.47970597784</v>
      </c>
      <c r="I1382" s="552">
        <f t="shared" si="88"/>
        <v>0</v>
      </c>
      <c r="J1382" s="552"/>
      <c r="K1382" s="572"/>
      <c r="L1382" s="556"/>
      <c r="M1382" s="572"/>
      <c r="N1382" s="556"/>
      <c r="O1382" s="556"/>
    </row>
    <row r="1383" spans="3:15">
      <c r="C1383" s="548">
        <f>IF(D1355="","-",+C1382+1)</f>
        <v>2037</v>
      </c>
      <c r="D1383" s="506">
        <f t="shared" si="84"/>
        <v>2285072.6654411778</v>
      </c>
      <c r="E1383" s="549">
        <f t="shared" si="89"/>
        <v>182805.81323529413</v>
      </c>
      <c r="F1383" s="506">
        <f t="shared" si="85"/>
        <v>2102266.8522058837</v>
      </c>
      <c r="G1383" s="554">
        <f t="shared" si="86"/>
        <v>509931.96690054069</v>
      </c>
      <c r="H1383" s="555">
        <f t="shared" si="87"/>
        <v>509931.96690054069</v>
      </c>
      <c r="I1383" s="552">
        <f t="shared" si="88"/>
        <v>0</v>
      </c>
      <c r="J1383" s="552"/>
      <c r="K1383" s="572"/>
      <c r="L1383" s="556"/>
      <c r="M1383" s="572"/>
      <c r="N1383" s="556"/>
      <c r="O1383" s="556"/>
    </row>
    <row r="1384" spans="3:15">
      <c r="C1384" s="548">
        <f>IF(D1355="","-",+C1383+1)</f>
        <v>2038</v>
      </c>
      <c r="D1384" s="506">
        <f t="shared" si="84"/>
        <v>2102266.8522058837</v>
      </c>
      <c r="E1384" s="549">
        <f t="shared" si="89"/>
        <v>182805.81323529413</v>
      </c>
      <c r="F1384" s="506">
        <f t="shared" si="85"/>
        <v>1919461.0389705896</v>
      </c>
      <c r="G1384" s="554">
        <f t="shared" si="86"/>
        <v>482671.45409510349</v>
      </c>
      <c r="H1384" s="555">
        <f t="shared" si="87"/>
        <v>482671.45409510349</v>
      </c>
      <c r="I1384" s="552">
        <f t="shared" si="88"/>
        <v>0</v>
      </c>
      <c r="J1384" s="552"/>
      <c r="K1384" s="572"/>
      <c r="L1384" s="556"/>
      <c r="M1384" s="572"/>
      <c r="N1384" s="556"/>
      <c r="O1384" s="556"/>
    </row>
    <row r="1385" spans="3:15">
      <c r="C1385" s="548">
        <f>IF(D1355="","-",+C1384+1)</f>
        <v>2039</v>
      </c>
      <c r="D1385" s="506">
        <f t="shared" si="84"/>
        <v>1919461.0389705896</v>
      </c>
      <c r="E1385" s="549">
        <f t="shared" si="89"/>
        <v>182805.81323529413</v>
      </c>
      <c r="F1385" s="506">
        <f t="shared" si="85"/>
        <v>1736655.2257352956</v>
      </c>
      <c r="G1385" s="554">
        <f t="shared" si="86"/>
        <v>455410.94128966628</v>
      </c>
      <c r="H1385" s="555">
        <f t="shared" si="87"/>
        <v>455410.94128966628</v>
      </c>
      <c r="I1385" s="552">
        <f t="shared" si="88"/>
        <v>0</v>
      </c>
      <c r="J1385" s="552"/>
      <c r="K1385" s="572"/>
      <c r="L1385" s="556"/>
      <c r="M1385" s="572"/>
      <c r="N1385" s="556"/>
      <c r="O1385" s="556"/>
    </row>
    <row r="1386" spans="3:15">
      <c r="C1386" s="548">
        <f>IF(D1355="","-",+C1385+1)</f>
        <v>2040</v>
      </c>
      <c r="D1386" s="506">
        <f t="shared" si="84"/>
        <v>1736655.2257352956</v>
      </c>
      <c r="E1386" s="549">
        <f t="shared" si="89"/>
        <v>182805.81323529413</v>
      </c>
      <c r="F1386" s="506">
        <f t="shared" si="85"/>
        <v>1553849.4125000015</v>
      </c>
      <c r="G1386" s="554">
        <f t="shared" si="86"/>
        <v>428150.42848422914</v>
      </c>
      <c r="H1386" s="555">
        <f t="shared" si="87"/>
        <v>428150.42848422914</v>
      </c>
      <c r="I1386" s="552">
        <f t="shared" si="88"/>
        <v>0</v>
      </c>
      <c r="J1386" s="552"/>
      <c r="K1386" s="572"/>
      <c r="L1386" s="556"/>
      <c r="M1386" s="572"/>
      <c r="N1386" s="556"/>
      <c r="O1386" s="556"/>
    </row>
    <row r="1387" spans="3:15">
      <c r="C1387" s="548">
        <f>IF(D1355="","-",+C1386+1)</f>
        <v>2041</v>
      </c>
      <c r="D1387" s="506">
        <f t="shared" si="84"/>
        <v>1553849.4125000015</v>
      </c>
      <c r="E1387" s="549">
        <f t="shared" si="89"/>
        <v>182805.81323529413</v>
      </c>
      <c r="F1387" s="506">
        <f t="shared" si="85"/>
        <v>1371043.5992647074</v>
      </c>
      <c r="G1387" s="554">
        <f t="shared" si="86"/>
        <v>400889.91567879193</v>
      </c>
      <c r="H1387" s="555">
        <f t="shared" si="87"/>
        <v>400889.91567879193</v>
      </c>
      <c r="I1387" s="552">
        <f t="shared" si="88"/>
        <v>0</v>
      </c>
      <c r="J1387" s="552"/>
      <c r="K1387" s="572"/>
      <c r="L1387" s="556"/>
      <c r="M1387" s="572"/>
      <c r="N1387" s="556"/>
      <c r="O1387" s="556"/>
    </row>
    <row r="1388" spans="3:15">
      <c r="C1388" s="548">
        <f>IF(D1355="","-",+C1387+1)</f>
        <v>2042</v>
      </c>
      <c r="D1388" s="506">
        <f t="shared" si="84"/>
        <v>1371043.5992647074</v>
      </c>
      <c r="E1388" s="549">
        <f t="shared" si="89"/>
        <v>182805.81323529413</v>
      </c>
      <c r="F1388" s="506">
        <f t="shared" si="85"/>
        <v>1188237.7860294133</v>
      </c>
      <c r="G1388" s="554">
        <f t="shared" si="86"/>
        <v>373629.40287335473</v>
      </c>
      <c r="H1388" s="555">
        <f t="shared" si="87"/>
        <v>373629.40287335473</v>
      </c>
      <c r="I1388" s="552">
        <f t="shared" si="88"/>
        <v>0</v>
      </c>
      <c r="J1388" s="552"/>
      <c r="K1388" s="572"/>
      <c r="L1388" s="556"/>
      <c r="M1388" s="572"/>
      <c r="N1388" s="556"/>
      <c r="O1388" s="556"/>
    </row>
    <row r="1389" spans="3:15">
      <c r="C1389" s="548">
        <f>IF(D1355="","-",+C1388+1)</f>
        <v>2043</v>
      </c>
      <c r="D1389" s="506">
        <f t="shared" si="84"/>
        <v>1188237.7860294133</v>
      </c>
      <c r="E1389" s="549">
        <f t="shared" si="89"/>
        <v>182805.81323529413</v>
      </c>
      <c r="F1389" s="506">
        <f t="shared" si="85"/>
        <v>1005431.9727941193</v>
      </c>
      <c r="G1389" s="550">
        <f t="shared" si="86"/>
        <v>346368.89006791753</v>
      </c>
      <c r="H1389" s="555">
        <f t="shared" si="87"/>
        <v>346368.89006791753</v>
      </c>
      <c r="I1389" s="552">
        <f t="shared" si="88"/>
        <v>0</v>
      </c>
      <c r="J1389" s="552"/>
      <c r="K1389" s="572"/>
      <c r="L1389" s="556"/>
      <c r="M1389" s="572"/>
      <c r="N1389" s="556"/>
      <c r="O1389" s="556"/>
    </row>
    <row r="1390" spans="3:15">
      <c r="C1390" s="548">
        <f>IF(D1355="","-",+C1389+1)</f>
        <v>2044</v>
      </c>
      <c r="D1390" s="506">
        <f t="shared" si="84"/>
        <v>1005431.9727941193</v>
      </c>
      <c r="E1390" s="549">
        <f t="shared" si="89"/>
        <v>182805.81323529413</v>
      </c>
      <c r="F1390" s="506">
        <f t="shared" si="85"/>
        <v>822626.15955882519</v>
      </c>
      <c r="G1390" s="554">
        <f t="shared" si="86"/>
        <v>319108.37726248032</v>
      </c>
      <c r="H1390" s="555">
        <f t="shared" si="87"/>
        <v>319108.37726248032</v>
      </c>
      <c r="I1390" s="552">
        <f t="shared" si="88"/>
        <v>0</v>
      </c>
      <c r="J1390" s="552"/>
      <c r="K1390" s="572"/>
      <c r="L1390" s="556"/>
      <c r="M1390" s="572"/>
      <c r="N1390" s="556"/>
      <c r="O1390" s="556"/>
    </row>
    <row r="1391" spans="3:15">
      <c r="C1391" s="548">
        <f>IF(D1355="","-",+C1390+1)</f>
        <v>2045</v>
      </c>
      <c r="D1391" s="506">
        <f t="shared" si="84"/>
        <v>822626.15955882519</v>
      </c>
      <c r="E1391" s="549">
        <f t="shared" si="89"/>
        <v>182805.81323529413</v>
      </c>
      <c r="F1391" s="506">
        <f t="shared" si="85"/>
        <v>639820.34632353112</v>
      </c>
      <c r="G1391" s="554">
        <f t="shared" si="86"/>
        <v>291847.86445704318</v>
      </c>
      <c r="H1391" s="555">
        <f t="shared" si="87"/>
        <v>291847.86445704318</v>
      </c>
      <c r="I1391" s="552">
        <f t="shared" si="88"/>
        <v>0</v>
      </c>
      <c r="J1391" s="552"/>
      <c r="K1391" s="572"/>
      <c r="L1391" s="556"/>
      <c r="M1391" s="572"/>
      <c r="N1391" s="556"/>
      <c r="O1391" s="556"/>
    </row>
    <row r="1392" spans="3:15">
      <c r="C1392" s="548">
        <f>IF(D1355="","-",+C1391+1)</f>
        <v>2046</v>
      </c>
      <c r="D1392" s="506">
        <f t="shared" si="84"/>
        <v>639820.34632353112</v>
      </c>
      <c r="E1392" s="549">
        <f t="shared" si="89"/>
        <v>182805.81323529413</v>
      </c>
      <c r="F1392" s="506">
        <f t="shared" si="85"/>
        <v>457014.53308823699</v>
      </c>
      <c r="G1392" s="554">
        <f t="shared" si="86"/>
        <v>264587.35165160598</v>
      </c>
      <c r="H1392" s="555">
        <f t="shared" si="87"/>
        <v>264587.35165160598</v>
      </c>
      <c r="I1392" s="552">
        <f t="shared" si="88"/>
        <v>0</v>
      </c>
      <c r="J1392" s="552"/>
      <c r="K1392" s="572"/>
      <c r="L1392" s="556"/>
      <c r="M1392" s="572"/>
      <c r="N1392" s="556"/>
      <c r="O1392" s="556"/>
    </row>
    <row r="1393" spans="3:15">
      <c r="C1393" s="548">
        <f>IF(D1355="","-",+C1392+1)</f>
        <v>2047</v>
      </c>
      <c r="D1393" s="506">
        <f t="shared" si="84"/>
        <v>457014.53308823699</v>
      </c>
      <c r="E1393" s="549">
        <f t="shared" si="89"/>
        <v>182805.81323529413</v>
      </c>
      <c r="F1393" s="506">
        <f t="shared" si="85"/>
        <v>274208.71985294286</v>
      </c>
      <c r="G1393" s="554">
        <f t="shared" si="86"/>
        <v>237326.83884616877</v>
      </c>
      <c r="H1393" s="555">
        <f t="shared" si="87"/>
        <v>237326.83884616877</v>
      </c>
      <c r="I1393" s="552">
        <f t="shared" si="88"/>
        <v>0</v>
      </c>
      <c r="J1393" s="552"/>
      <c r="K1393" s="572"/>
      <c r="L1393" s="556"/>
      <c r="M1393" s="572"/>
      <c r="N1393" s="556"/>
      <c r="O1393" s="556"/>
    </row>
    <row r="1394" spans="3:15">
      <c r="C1394" s="548">
        <f>IF(D1355="","-",+C1393+1)</f>
        <v>2048</v>
      </c>
      <c r="D1394" s="506">
        <f t="shared" si="84"/>
        <v>274208.71985294286</v>
      </c>
      <c r="E1394" s="549">
        <f t="shared" si="89"/>
        <v>182805.81323529413</v>
      </c>
      <c r="F1394" s="506">
        <f t="shared" si="85"/>
        <v>91402.906617648725</v>
      </c>
      <c r="G1394" s="554">
        <f t="shared" si="86"/>
        <v>210066.32604073157</v>
      </c>
      <c r="H1394" s="555">
        <f t="shared" si="87"/>
        <v>210066.32604073157</v>
      </c>
      <c r="I1394" s="552">
        <f t="shared" si="88"/>
        <v>0</v>
      </c>
      <c r="J1394" s="552"/>
      <c r="K1394" s="572"/>
      <c r="L1394" s="556"/>
      <c r="M1394" s="572"/>
      <c r="N1394" s="556"/>
      <c r="O1394" s="556"/>
    </row>
    <row r="1395" spans="3:15">
      <c r="C1395" s="548">
        <f>IF(D1355="","-",+C1394+1)</f>
        <v>2049</v>
      </c>
      <c r="D1395" s="506">
        <f t="shared" si="84"/>
        <v>91402.906617648725</v>
      </c>
      <c r="E1395" s="549">
        <f t="shared" si="89"/>
        <v>91402.906617648725</v>
      </c>
      <c r="F1395" s="506">
        <f t="shared" si="85"/>
        <v>0</v>
      </c>
      <c r="G1395" s="554">
        <f t="shared" si="86"/>
        <v>98218.034819008142</v>
      </c>
      <c r="H1395" s="555">
        <f t="shared" si="87"/>
        <v>98218.034819008142</v>
      </c>
      <c r="I1395" s="552">
        <f t="shared" si="88"/>
        <v>0</v>
      </c>
      <c r="J1395" s="552"/>
      <c r="K1395" s="572"/>
      <c r="L1395" s="556"/>
      <c r="M1395" s="572"/>
      <c r="N1395" s="556"/>
      <c r="O1395" s="556"/>
    </row>
    <row r="1396" spans="3:15">
      <c r="C1396" s="548">
        <f>IF(D1355="","-",+C1395+1)</f>
        <v>2050</v>
      </c>
      <c r="D1396" s="506">
        <f t="shared" si="84"/>
        <v>0</v>
      </c>
      <c r="E1396" s="549">
        <f t="shared" si="89"/>
        <v>0</v>
      </c>
      <c r="F1396" s="506">
        <f t="shared" si="85"/>
        <v>0</v>
      </c>
      <c r="G1396" s="554">
        <f t="shared" si="86"/>
        <v>0</v>
      </c>
      <c r="H1396" s="555">
        <f t="shared" si="87"/>
        <v>0</v>
      </c>
      <c r="I1396" s="552">
        <f t="shared" si="88"/>
        <v>0</v>
      </c>
      <c r="J1396" s="552"/>
      <c r="K1396" s="572"/>
      <c r="L1396" s="556"/>
      <c r="M1396" s="572"/>
      <c r="N1396" s="556"/>
      <c r="O1396" s="556"/>
    </row>
    <row r="1397" spans="3:15">
      <c r="C1397" s="548">
        <f>IF(D1355="","-",+C1396+1)</f>
        <v>2051</v>
      </c>
      <c r="D1397" s="506">
        <f t="shared" si="84"/>
        <v>0</v>
      </c>
      <c r="E1397" s="549">
        <f t="shared" si="89"/>
        <v>0</v>
      </c>
      <c r="F1397" s="506">
        <f t="shared" si="85"/>
        <v>0</v>
      </c>
      <c r="G1397" s="554">
        <f t="shared" si="86"/>
        <v>0</v>
      </c>
      <c r="H1397" s="555">
        <f t="shared" si="87"/>
        <v>0</v>
      </c>
      <c r="I1397" s="552">
        <f t="shared" si="88"/>
        <v>0</v>
      </c>
      <c r="J1397" s="552"/>
      <c r="K1397" s="572"/>
      <c r="L1397" s="556"/>
      <c r="M1397" s="572"/>
      <c r="N1397" s="556"/>
      <c r="O1397" s="556"/>
    </row>
    <row r="1398" spans="3:15">
      <c r="C1398" s="548">
        <f>IF(D1355="","-",+C1397+1)</f>
        <v>2052</v>
      </c>
      <c r="D1398" s="506">
        <f t="shared" si="84"/>
        <v>0</v>
      </c>
      <c r="E1398" s="549">
        <f t="shared" si="89"/>
        <v>0</v>
      </c>
      <c r="F1398" s="506">
        <f t="shared" si="85"/>
        <v>0</v>
      </c>
      <c r="G1398" s="554">
        <f t="shared" si="86"/>
        <v>0</v>
      </c>
      <c r="H1398" s="555">
        <f t="shared" si="87"/>
        <v>0</v>
      </c>
      <c r="I1398" s="552">
        <f t="shared" si="88"/>
        <v>0</v>
      </c>
      <c r="J1398" s="552"/>
      <c r="K1398" s="572"/>
      <c r="L1398" s="556"/>
      <c r="M1398" s="572"/>
      <c r="N1398" s="556"/>
      <c r="O1398" s="556"/>
    </row>
    <row r="1399" spans="3:15">
      <c r="C1399" s="548">
        <f>IF(D1355="","-",+C1398+1)</f>
        <v>2053</v>
      </c>
      <c r="D1399" s="506">
        <f t="shared" si="84"/>
        <v>0</v>
      </c>
      <c r="E1399" s="549">
        <f t="shared" si="89"/>
        <v>0</v>
      </c>
      <c r="F1399" s="506">
        <f t="shared" si="85"/>
        <v>0</v>
      </c>
      <c r="G1399" s="554">
        <f t="shared" si="86"/>
        <v>0</v>
      </c>
      <c r="H1399" s="555">
        <f t="shared" si="87"/>
        <v>0</v>
      </c>
      <c r="I1399" s="552">
        <f t="shared" si="88"/>
        <v>0</v>
      </c>
      <c r="J1399" s="552"/>
      <c r="K1399" s="572"/>
      <c r="L1399" s="556"/>
      <c r="M1399" s="572"/>
      <c r="N1399" s="556"/>
      <c r="O1399" s="556"/>
    </row>
    <row r="1400" spans="3:15">
      <c r="C1400" s="548">
        <f>IF(D1355="","-",+C1399+1)</f>
        <v>2054</v>
      </c>
      <c r="D1400" s="506">
        <f t="shared" si="84"/>
        <v>0</v>
      </c>
      <c r="E1400" s="549">
        <f t="shared" si="89"/>
        <v>0</v>
      </c>
      <c r="F1400" s="506">
        <f t="shared" si="85"/>
        <v>0</v>
      </c>
      <c r="G1400" s="554">
        <f t="shared" si="86"/>
        <v>0</v>
      </c>
      <c r="H1400" s="555">
        <f t="shared" si="87"/>
        <v>0</v>
      </c>
      <c r="I1400" s="552">
        <f t="shared" si="88"/>
        <v>0</v>
      </c>
      <c r="J1400" s="552"/>
      <c r="K1400" s="572"/>
      <c r="L1400" s="556"/>
      <c r="M1400" s="572"/>
      <c r="N1400" s="556"/>
      <c r="O1400" s="556"/>
    </row>
    <row r="1401" spans="3:15">
      <c r="C1401" s="548">
        <f>IF(D1355="","-",+C1400+1)</f>
        <v>2055</v>
      </c>
      <c r="D1401" s="506">
        <f t="shared" si="84"/>
        <v>0</v>
      </c>
      <c r="E1401" s="549">
        <f t="shared" si="89"/>
        <v>0</v>
      </c>
      <c r="F1401" s="506">
        <f t="shared" si="85"/>
        <v>0</v>
      </c>
      <c r="G1401" s="554">
        <f t="shared" si="86"/>
        <v>0</v>
      </c>
      <c r="H1401" s="555">
        <f t="shared" si="87"/>
        <v>0</v>
      </c>
      <c r="I1401" s="552">
        <f t="shared" si="88"/>
        <v>0</v>
      </c>
      <c r="J1401" s="552"/>
      <c r="K1401" s="572"/>
      <c r="L1401" s="556"/>
      <c r="M1401" s="572"/>
      <c r="N1401" s="556"/>
      <c r="O1401" s="556"/>
    </row>
    <row r="1402" spans="3:15">
      <c r="C1402" s="548">
        <f>IF(D1355="","-",+C1401+1)</f>
        <v>2056</v>
      </c>
      <c r="D1402" s="506">
        <f t="shared" si="84"/>
        <v>0</v>
      </c>
      <c r="E1402" s="549">
        <f t="shared" si="89"/>
        <v>0</v>
      </c>
      <c r="F1402" s="506">
        <f t="shared" si="85"/>
        <v>0</v>
      </c>
      <c r="G1402" s="554">
        <f t="shared" si="86"/>
        <v>0</v>
      </c>
      <c r="H1402" s="555">
        <f t="shared" si="87"/>
        <v>0</v>
      </c>
      <c r="I1402" s="552">
        <f t="shared" si="88"/>
        <v>0</v>
      </c>
      <c r="J1402" s="552"/>
      <c r="K1402" s="572"/>
      <c r="L1402" s="556"/>
      <c r="M1402" s="572"/>
      <c r="N1402" s="556"/>
      <c r="O1402" s="556"/>
    </row>
    <row r="1403" spans="3:15">
      <c r="C1403" s="548">
        <f>IF(D1355="","-",+C1402+1)</f>
        <v>2057</v>
      </c>
      <c r="D1403" s="506">
        <f t="shared" si="84"/>
        <v>0</v>
      </c>
      <c r="E1403" s="549">
        <f t="shared" si="89"/>
        <v>0</v>
      </c>
      <c r="F1403" s="506">
        <f t="shared" si="85"/>
        <v>0</v>
      </c>
      <c r="G1403" s="554">
        <f t="shared" si="86"/>
        <v>0</v>
      </c>
      <c r="H1403" s="555">
        <f t="shared" si="87"/>
        <v>0</v>
      </c>
      <c r="I1403" s="552">
        <f t="shared" si="88"/>
        <v>0</v>
      </c>
      <c r="J1403" s="552"/>
      <c r="K1403" s="572"/>
      <c r="L1403" s="556"/>
      <c r="M1403" s="572"/>
      <c r="N1403" s="556"/>
      <c r="O1403" s="556"/>
    </row>
    <row r="1404" spans="3:15">
      <c r="C1404" s="548">
        <f>IF(D1355="","-",+C1403+1)</f>
        <v>2058</v>
      </c>
      <c r="D1404" s="506">
        <f t="shared" si="84"/>
        <v>0</v>
      </c>
      <c r="E1404" s="549">
        <f t="shared" si="89"/>
        <v>0</v>
      </c>
      <c r="F1404" s="506">
        <f t="shared" si="85"/>
        <v>0</v>
      </c>
      <c r="G1404" s="554">
        <f t="shared" si="86"/>
        <v>0</v>
      </c>
      <c r="H1404" s="555">
        <f t="shared" si="87"/>
        <v>0</v>
      </c>
      <c r="I1404" s="552">
        <f t="shared" si="88"/>
        <v>0</v>
      </c>
      <c r="J1404" s="552"/>
      <c r="K1404" s="572"/>
      <c r="L1404" s="556"/>
      <c r="M1404" s="572"/>
      <c r="N1404" s="556"/>
      <c r="O1404" s="556"/>
    </row>
    <row r="1405" spans="3:15">
      <c r="C1405" s="548">
        <f>IF(D1355="","-",+C1404+1)</f>
        <v>2059</v>
      </c>
      <c r="D1405" s="506">
        <f t="shared" si="84"/>
        <v>0</v>
      </c>
      <c r="E1405" s="549">
        <f t="shared" si="89"/>
        <v>0</v>
      </c>
      <c r="F1405" s="506">
        <f t="shared" si="85"/>
        <v>0</v>
      </c>
      <c r="G1405" s="554">
        <f t="shared" si="86"/>
        <v>0</v>
      </c>
      <c r="H1405" s="555">
        <f t="shared" si="87"/>
        <v>0</v>
      </c>
      <c r="I1405" s="552">
        <f t="shared" si="88"/>
        <v>0</v>
      </c>
      <c r="J1405" s="552"/>
      <c r="K1405" s="572"/>
      <c r="L1405" s="556"/>
      <c r="M1405" s="572"/>
      <c r="N1405" s="556"/>
      <c r="O1405" s="556"/>
    </row>
    <row r="1406" spans="3:15">
      <c r="C1406" s="548">
        <f>IF(D1355="","-",+C1405+1)</f>
        <v>2060</v>
      </c>
      <c r="D1406" s="506">
        <f t="shared" si="84"/>
        <v>0</v>
      </c>
      <c r="E1406" s="549">
        <f t="shared" si="89"/>
        <v>0</v>
      </c>
      <c r="F1406" s="506">
        <f t="shared" si="85"/>
        <v>0</v>
      </c>
      <c r="G1406" s="554">
        <f t="shared" si="86"/>
        <v>0</v>
      </c>
      <c r="H1406" s="555">
        <f t="shared" si="87"/>
        <v>0</v>
      </c>
      <c r="I1406" s="552">
        <f t="shared" si="88"/>
        <v>0</v>
      </c>
      <c r="J1406" s="552"/>
      <c r="K1406" s="572"/>
      <c r="L1406" s="556"/>
      <c r="M1406" s="572"/>
      <c r="N1406" s="556"/>
      <c r="O1406" s="556"/>
    </row>
    <row r="1407" spans="3:15">
      <c r="C1407" s="548">
        <f>IF(D1355="","-",+C1406+1)</f>
        <v>2061</v>
      </c>
      <c r="D1407" s="506">
        <f t="shared" si="84"/>
        <v>0</v>
      </c>
      <c r="E1407" s="549">
        <f t="shared" si="89"/>
        <v>0</v>
      </c>
      <c r="F1407" s="506">
        <f t="shared" si="85"/>
        <v>0</v>
      </c>
      <c r="G1407" s="554">
        <f t="shared" si="86"/>
        <v>0</v>
      </c>
      <c r="H1407" s="555">
        <f t="shared" si="87"/>
        <v>0</v>
      </c>
      <c r="I1407" s="552">
        <f t="shared" si="88"/>
        <v>0</v>
      </c>
      <c r="J1407" s="552"/>
      <c r="K1407" s="572"/>
      <c r="L1407" s="556"/>
      <c r="M1407" s="572"/>
      <c r="N1407" s="556"/>
      <c r="O1407" s="556"/>
    </row>
    <row r="1408" spans="3:15">
      <c r="C1408" s="548">
        <f>IF(D1355="","-",+C1407+1)</f>
        <v>2062</v>
      </c>
      <c r="D1408" s="506">
        <f t="shared" si="84"/>
        <v>0</v>
      </c>
      <c r="E1408" s="549">
        <f t="shared" si="89"/>
        <v>0</v>
      </c>
      <c r="F1408" s="506">
        <f t="shared" si="85"/>
        <v>0</v>
      </c>
      <c r="G1408" s="554">
        <f t="shared" si="86"/>
        <v>0</v>
      </c>
      <c r="H1408" s="555">
        <f t="shared" si="87"/>
        <v>0</v>
      </c>
      <c r="I1408" s="552">
        <f t="shared" si="88"/>
        <v>0</v>
      </c>
      <c r="J1408" s="552"/>
      <c r="K1408" s="572"/>
      <c r="L1408" s="556"/>
      <c r="M1408" s="572"/>
      <c r="N1408" s="556"/>
      <c r="O1408" s="556"/>
    </row>
    <row r="1409" spans="3:15">
      <c r="C1409" s="548">
        <f>IF(D1355="","-",+C1408+1)</f>
        <v>2063</v>
      </c>
      <c r="D1409" s="506">
        <f t="shared" si="84"/>
        <v>0</v>
      </c>
      <c r="E1409" s="549">
        <f t="shared" si="89"/>
        <v>0</v>
      </c>
      <c r="F1409" s="506">
        <f t="shared" si="85"/>
        <v>0</v>
      </c>
      <c r="G1409" s="554">
        <f t="shared" si="86"/>
        <v>0</v>
      </c>
      <c r="H1409" s="555">
        <f t="shared" si="87"/>
        <v>0</v>
      </c>
      <c r="I1409" s="552">
        <f t="shared" si="88"/>
        <v>0</v>
      </c>
      <c r="J1409" s="552"/>
      <c r="K1409" s="572"/>
      <c r="L1409" s="556"/>
      <c r="M1409" s="572"/>
      <c r="N1409" s="556"/>
      <c r="O1409" s="556"/>
    </row>
    <row r="1410" spans="3:15">
      <c r="C1410" s="548">
        <f>IF(D1355="","-",+C1409+1)</f>
        <v>2064</v>
      </c>
      <c r="D1410" s="506">
        <f t="shared" si="84"/>
        <v>0</v>
      </c>
      <c r="E1410" s="549">
        <f t="shared" si="89"/>
        <v>0</v>
      </c>
      <c r="F1410" s="506">
        <f t="shared" si="85"/>
        <v>0</v>
      </c>
      <c r="G1410" s="554">
        <f t="shared" si="86"/>
        <v>0</v>
      </c>
      <c r="H1410" s="555">
        <f t="shared" si="87"/>
        <v>0</v>
      </c>
      <c r="I1410" s="552">
        <f t="shared" si="88"/>
        <v>0</v>
      </c>
      <c r="J1410" s="552"/>
      <c r="K1410" s="572"/>
      <c r="L1410" s="556"/>
      <c r="M1410" s="572"/>
      <c r="N1410" s="556"/>
      <c r="O1410" s="556"/>
    </row>
    <row r="1411" spans="3:15">
      <c r="C1411" s="548">
        <f>IF(D1355="","-",+C1410+1)</f>
        <v>2065</v>
      </c>
      <c r="D1411" s="506">
        <f t="shared" si="84"/>
        <v>0</v>
      </c>
      <c r="E1411" s="549">
        <f t="shared" si="89"/>
        <v>0</v>
      </c>
      <c r="F1411" s="506">
        <f t="shared" si="85"/>
        <v>0</v>
      </c>
      <c r="G1411" s="554">
        <f t="shared" si="86"/>
        <v>0</v>
      </c>
      <c r="H1411" s="555">
        <f t="shared" si="87"/>
        <v>0</v>
      </c>
      <c r="I1411" s="552">
        <f t="shared" si="88"/>
        <v>0</v>
      </c>
      <c r="J1411" s="552"/>
      <c r="K1411" s="572"/>
      <c r="L1411" s="556"/>
      <c r="M1411" s="572"/>
      <c r="N1411" s="556"/>
      <c r="O1411" s="556"/>
    </row>
    <row r="1412" spans="3:15">
      <c r="C1412" s="548">
        <f>IF(D1355="","-",+C1411+1)</f>
        <v>2066</v>
      </c>
      <c r="D1412" s="506">
        <f t="shared" si="84"/>
        <v>0</v>
      </c>
      <c r="E1412" s="549">
        <f t="shared" si="89"/>
        <v>0</v>
      </c>
      <c r="F1412" s="506">
        <f t="shared" si="85"/>
        <v>0</v>
      </c>
      <c r="G1412" s="554">
        <f t="shared" si="86"/>
        <v>0</v>
      </c>
      <c r="H1412" s="555">
        <f t="shared" si="87"/>
        <v>0</v>
      </c>
      <c r="I1412" s="552">
        <f t="shared" si="88"/>
        <v>0</v>
      </c>
      <c r="J1412" s="552"/>
      <c r="K1412" s="572"/>
      <c r="L1412" s="556"/>
      <c r="M1412" s="572"/>
      <c r="N1412" s="556"/>
      <c r="O1412" s="556"/>
    </row>
    <row r="1413" spans="3:15">
      <c r="C1413" s="548">
        <f>IF(D1355="","-",+C1412+1)</f>
        <v>2067</v>
      </c>
      <c r="D1413" s="506">
        <f t="shared" si="84"/>
        <v>0</v>
      </c>
      <c r="E1413" s="549">
        <f t="shared" si="89"/>
        <v>0</v>
      </c>
      <c r="F1413" s="506">
        <f t="shared" si="85"/>
        <v>0</v>
      </c>
      <c r="G1413" s="554">
        <f t="shared" si="86"/>
        <v>0</v>
      </c>
      <c r="H1413" s="555">
        <f t="shared" si="87"/>
        <v>0</v>
      </c>
      <c r="I1413" s="552">
        <f t="shared" si="88"/>
        <v>0</v>
      </c>
      <c r="J1413" s="552"/>
      <c r="K1413" s="572"/>
      <c r="L1413" s="556"/>
      <c r="M1413" s="572"/>
      <c r="N1413" s="556"/>
      <c r="O1413" s="556"/>
    </row>
    <row r="1414" spans="3:15">
      <c r="C1414" s="548">
        <f>IF(D1355="","-",+C1413+1)</f>
        <v>2068</v>
      </c>
      <c r="D1414" s="506">
        <f t="shared" si="84"/>
        <v>0</v>
      </c>
      <c r="E1414" s="549">
        <f t="shared" si="89"/>
        <v>0</v>
      </c>
      <c r="F1414" s="506">
        <f t="shared" si="85"/>
        <v>0</v>
      </c>
      <c r="G1414" s="554">
        <f t="shared" si="86"/>
        <v>0</v>
      </c>
      <c r="H1414" s="555">
        <f t="shared" si="87"/>
        <v>0</v>
      </c>
      <c r="I1414" s="552">
        <f t="shared" si="88"/>
        <v>0</v>
      </c>
      <c r="J1414" s="552"/>
      <c r="K1414" s="572"/>
      <c r="L1414" s="556"/>
      <c r="M1414" s="572"/>
      <c r="N1414" s="556"/>
      <c r="O1414" s="556"/>
    </row>
    <row r="1415" spans="3:15">
      <c r="C1415" s="548">
        <f>IF(D1355="","-",+C1414+1)</f>
        <v>2069</v>
      </c>
      <c r="D1415" s="506">
        <f t="shared" si="84"/>
        <v>0</v>
      </c>
      <c r="E1415" s="549">
        <f t="shared" si="89"/>
        <v>0</v>
      </c>
      <c r="F1415" s="506">
        <f t="shared" si="85"/>
        <v>0</v>
      </c>
      <c r="G1415" s="554">
        <f t="shared" si="86"/>
        <v>0</v>
      </c>
      <c r="H1415" s="555">
        <f t="shared" si="87"/>
        <v>0</v>
      </c>
      <c r="I1415" s="552">
        <f t="shared" si="88"/>
        <v>0</v>
      </c>
      <c r="J1415" s="552"/>
      <c r="K1415" s="572"/>
      <c r="L1415" s="556"/>
      <c r="M1415" s="572"/>
      <c r="N1415" s="556"/>
      <c r="O1415" s="556"/>
    </row>
    <row r="1416" spans="3:15">
      <c r="C1416" s="548">
        <f>IF(D1355="","-",+C1415+1)</f>
        <v>2070</v>
      </c>
      <c r="D1416" s="506">
        <f t="shared" si="84"/>
        <v>0</v>
      </c>
      <c r="E1416" s="549">
        <f t="shared" si="89"/>
        <v>0</v>
      </c>
      <c r="F1416" s="506">
        <f t="shared" si="85"/>
        <v>0</v>
      </c>
      <c r="G1416" s="554">
        <f t="shared" si="86"/>
        <v>0</v>
      </c>
      <c r="H1416" s="555">
        <f t="shared" si="87"/>
        <v>0</v>
      </c>
      <c r="I1416" s="552">
        <f t="shared" si="88"/>
        <v>0</v>
      </c>
      <c r="J1416" s="552"/>
      <c r="K1416" s="572"/>
      <c r="L1416" s="556"/>
      <c r="M1416" s="572"/>
      <c r="N1416" s="556"/>
      <c r="O1416" s="556"/>
    </row>
    <row r="1417" spans="3:15">
      <c r="C1417" s="548">
        <f>IF(D1355="","-",+C1416+1)</f>
        <v>2071</v>
      </c>
      <c r="D1417" s="506">
        <f t="shared" si="84"/>
        <v>0</v>
      </c>
      <c r="E1417" s="549">
        <f t="shared" si="89"/>
        <v>0</v>
      </c>
      <c r="F1417" s="506">
        <f t="shared" si="85"/>
        <v>0</v>
      </c>
      <c r="G1417" s="554">
        <f t="shared" si="86"/>
        <v>0</v>
      </c>
      <c r="H1417" s="555">
        <f t="shared" si="87"/>
        <v>0</v>
      </c>
      <c r="I1417" s="552">
        <f t="shared" si="88"/>
        <v>0</v>
      </c>
      <c r="J1417" s="552"/>
      <c r="K1417" s="572"/>
      <c r="L1417" s="556"/>
      <c r="M1417" s="572"/>
      <c r="N1417" s="556"/>
      <c r="O1417" s="556"/>
    </row>
    <row r="1418" spans="3:15">
      <c r="C1418" s="548">
        <f>IF(D1355="","-",+C1417+1)</f>
        <v>2072</v>
      </c>
      <c r="D1418" s="506">
        <f t="shared" si="84"/>
        <v>0</v>
      </c>
      <c r="E1418" s="549">
        <f t="shared" si="89"/>
        <v>0</v>
      </c>
      <c r="F1418" s="506">
        <f t="shared" si="85"/>
        <v>0</v>
      </c>
      <c r="G1418" s="554">
        <f t="shared" si="86"/>
        <v>0</v>
      </c>
      <c r="H1418" s="555">
        <f t="shared" si="87"/>
        <v>0</v>
      </c>
      <c r="I1418" s="552">
        <f t="shared" si="88"/>
        <v>0</v>
      </c>
      <c r="J1418" s="552"/>
      <c r="K1418" s="572"/>
      <c r="L1418" s="556"/>
      <c r="M1418" s="572"/>
      <c r="N1418" s="556"/>
      <c r="O1418" s="556"/>
    </row>
    <row r="1419" spans="3:15">
      <c r="C1419" s="548">
        <f>IF(D1355="","-",+C1418+1)</f>
        <v>2073</v>
      </c>
      <c r="D1419" s="506">
        <f t="shared" si="84"/>
        <v>0</v>
      </c>
      <c r="E1419" s="549">
        <f t="shared" si="89"/>
        <v>0</v>
      </c>
      <c r="F1419" s="506">
        <f t="shared" si="85"/>
        <v>0</v>
      </c>
      <c r="G1419" s="554">
        <f t="shared" si="86"/>
        <v>0</v>
      </c>
      <c r="H1419" s="555">
        <f t="shared" si="87"/>
        <v>0</v>
      </c>
      <c r="I1419" s="552">
        <f t="shared" si="88"/>
        <v>0</v>
      </c>
      <c r="J1419" s="552"/>
      <c r="K1419" s="572"/>
      <c r="L1419" s="556"/>
      <c r="M1419" s="572"/>
      <c r="N1419" s="556"/>
      <c r="O1419" s="556"/>
    </row>
    <row r="1420" spans="3:15" ht="13.5" thickBot="1">
      <c r="C1420" s="558">
        <f>IF(D1355="","-",+C1419+1)</f>
        <v>2074</v>
      </c>
      <c r="D1420" s="559">
        <f t="shared" si="84"/>
        <v>0</v>
      </c>
      <c r="E1420" s="560">
        <f t="shared" si="89"/>
        <v>0</v>
      </c>
      <c r="F1420" s="559">
        <f t="shared" si="85"/>
        <v>0</v>
      </c>
      <c r="G1420" s="561">
        <f t="shared" si="86"/>
        <v>0</v>
      </c>
      <c r="H1420" s="561">
        <f t="shared" si="87"/>
        <v>0</v>
      </c>
      <c r="I1420" s="562">
        <f t="shared" si="88"/>
        <v>0</v>
      </c>
      <c r="J1420" s="552"/>
      <c r="K1420" s="573"/>
      <c r="L1420" s="563"/>
      <c r="M1420" s="573"/>
      <c r="N1420" s="563"/>
      <c r="O1420" s="563"/>
    </row>
    <row r="1421" spans="3:15">
      <c r="C1421" s="506" t="s">
        <v>83</v>
      </c>
      <c r="D1421" s="503"/>
      <c r="E1421" s="503">
        <f>SUM(E1361:E1420)</f>
        <v>6215397.6500000013</v>
      </c>
      <c r="F1421" s="503"/>
      <c r="G1421" s="503">
        <f>SUM(G1361:G1420)</f>
        <v>22435402.769235134</v>
      </c>
      <c r="H1421" s="503">
        <f>SUM(H1361:H1420)</f>
        <v>22435402.769235134</v>
      </c>
      <c r="I1421" s="503">
        <f>SUM(I1361:I1420)</f>
        <v>0</v>
      </c>
      <c r="J1421" s="503"/>
      <c r="K1421" s="503"/>
      <c r="L1421" s="503"/>
      <c r="M1421" s="503"/>
      <c r="N1421" s="503"/>
      <c r="O1421" s="3"/>
    </row>
    <row r="1422" spans="3:15">
      <c r="D1422" s="47"/>
      <c r="E1422" s="3"/>
      <c r="F1422" s="3"/>
      <c r="G1422" s="3"/>
      <c r="H1422" s="490"/>
      <c r="I1422" s="490"/>
      <c r="J1422" s="503"/>
      <c r="K1422" s="490"/>
      <c r="L1422" s="490"/>
      <c r="M1422" s="490"/>
      <c r="N1422" s="490"/>
      <c r="O1422" s="3"/>
    </row>
    <row r="1423" spans="3:15">
      <c r="C1423" s="3" t="s">
        <v>13</v>
      </c>
      <c r="D1423" s="47"/>
      <c r="E1423" s="3"/>
      <c r="F1423" s="3"/>
      <c r="G1423" s="3"/>
      <c r="H1423" s="490"/>
      <c r="I1423" s="490"/>
      <c r="J1423" s="503"/>
      <c r="K1423" s="490"/>
      <c r="L1423" s="490"/>
      <c r="M1423" s="490"/>
      <c r="N1423" s="490"/>
      <c r="O1423" s="3"/>
    </row>
    <row r="1424" spans="3:15">
      <c r="C1424" s="3"/>
      <c r="D1424" s="47"/>
      <c r="E1424" s="3"/>
      <c r="F1424" s="3"/>
      <c r="G1424" s="3"/>
      <c r="H1424" s="490"/>
      <c r="I1424" s="490"/>
      <c r="J1424" s="503"/>
      <c r="K1424" s="490"/>
      <c r="L1424" s="490"/>
      <c r="M1424" s="490"/>
      <c r="N1424" s="490"/>
      <c r="O1424" s="3"/>
    </row>
    <row r="1425" spans="1:16">
      <c r="C1425" s="518" t="s">
        <v>14</v>
      </c>
      <c r="D1425" s="506"/>
      <c r="E1425" s="506"/>
      <c r="F1425" s="506"/>
      <c r="G1425" s="503"/>
      <c r="H1425" s="503"/>
      <c r="I1425" s="564"/>
      <c r="J1425" s="564"/>
      <c r="K1425" s="564"/>
      <c r="L1425" s="564"/>
      <c r="M1425" s="564"/>
      <c r="N1425" s="564"/>
      <c r="O1425" s="3"/>
    </row>
    <row r="1426" spans="1:16">
      <c r="C1426" s="507" t="s">
        <v>263</v>
      </c>
      <c r="D1426" s="506"/>
      <c r="E1426" s="506"/>
      <c r="F1426" s="506"/>
      <c r="G1426" s="503"/>
      <c r="H1426" s="503"/>
      <c r="I1426" s="564"/>
      <c r="J1426" s="564"/>
      <c r="K1426" s="564"/>
      <c r="L1426" s="564"/>
      <c r="M1426" s="564"/>
      <c r="N1426" s="564"/>
      <c r="O1426" s="3"/>
    </row>
    <row r="1427" spans="1:16">
      <c r="C1427" s="507" t="s">
        <v>84</v>
      </c>
      <c r="D1427" s="506"/>
      <c r="E1427" s="506"/>
      <c r="F1427" s="506"/>
      <c r="G1427" s="503"/>
      <c r="H1427" s="503"/>
      <c r="I1427" s="564"/>
      <c r="J1427" s="564"/>
      <c r="K1427" s="564"/>
      <c r="L1427" s="564"/>
      <c r="M1427" s="564"/>
      <c r="N1427" s="564"/>
      <c r="O1427" s="3"/>
    </row>
    <row r="1428" spans="1:16">
      <c r="C1428" s="507"/>
      <c r="D1428" s="506"/>
      <c r="E1428" s="506"/>
      <c r="F1428" s="506"/>
      <c r="G1428" s="503"/>
      <c r="H1428" s="503"/>
      <c r="I1428" s="564"/>
      <c r="J1428" s="564"/>
      <c r="K1428" s="564"/>
      <c r="L1428" s="564"/>
      <c r="M1428" s="564"/>
      <c r="N1428" s="564"/>
      <c r="O1428" s="3"/>
    </row>
    <row r="1429" spans="1:16">
      <c r="C1429" s="1200" t="s">
        <v>6</v>
      </c>
      <c r="D1429" s="1200"/>
      <c r="E1429" s="1200"/>
      <c r="F1429" s="1200"/>
      <c r="G1429" s="1200"/>
      <c r="H1429" s="1200"/>
      <c r="I1429" s="1200"/>
      <c r="J1429" s="1200"/>
      <c r="K1429" s="1200"/>
      <c r="L1429" s="1200"/>
      <c r="M1429" s="1200"/>
      <c r="N1429" s="1200"/>
      <c r="O1429" s="1200"/>
    </row>
    <row r="1430" spans="1:16">
      <c r="C1430" s="1200"/>
      <c r="D1430" s="1200"/>
      <c r="E1430" s="1200"/>
      <c r="F1430" s="1200"/>
      <c r="G1430" s="1200"/>
      <c r="H1430" s="1200"/>
      <c r="I1430" s="1200"/>
      <c r="J1430" s="1200"/>
      <c r="K1430" s="1200"/>
      <c r="L1430" s="1200"/>
      <c r="M1430" s="1200"/>
      <c r="N1430" s="1200"/>
      <c r="O1430" s="1200"/>
    </row>
    <row r="1431" spans="1:16">
      <c r="C1431" s="507"/>
      <c r="D1431" s="506"/>
      <c r="E1431" s="506"/>
      <c r="F1431" s="506"/>
      <c r="G1431" s="503"/>
      <c r="H1431" s="503"/>
    </row>
    <row r="1432" spans="1:16" ht="20.25">
      <c r="A1432" s="447" t="str">
        <f>""&amp;A1356&amp;" Worksheet J -  ATRR PROJECTED Calculation for PJM Projects Charged to Benefiting Zones"</f>
        <v xml:space="preserve"> Worksheet J -  ATRR PROJECTED Calculation for PJM Projects Charged to Benefiting Zones</v>
      </c>
      <c r="B1432" s="3"/>
      <c r="C1432" s="3"/>
      <c r="D1432" s="47"/>
      <c r="E1432" s="3"/>
      <c r="F1432" s="489"/>
      <c r="G1432" s="3"/>
      <c r="H1432" s="490"/>
      <c r="K1432" s="398"/>
      <c r="L1432" s="398"/>
      <c r="M1432" s="398"/>
      <c r="N1432" s="398" t="str">
        <f>"Page "&amp;SUM(P$8:P1432)&amp;" of "</f>
        <v xml:space="preserve">Page 17 of </v>
      </c>
      <c r="O1432" s="448">
        <f>COUNT(P$8:P$56653)</f>
        <v>23</v>
      </c>
      <c r="P1432">
        <v>1</v>
      </c>
    </row>
    <row r="1433" spans="1:16">
      <c r="B1433" s="3"/>
      <c r="C1433" s="3"/>
      <c r="D1433" s="47"/>
      <c r="E1433" s="3"/>
      <c r="F1433" s="3"/>
      <c r="G1433" s="3"/>
      <c r="H1433" s="490"/>
      <c r="I1433" s="3"/>
      <c r="J1433" s="3"/>
      <c r="K1433" s="3"/>
      <c r="L1433" s="3"/>
      <c r="M1433" s="3"/>
      <c r="N1433" s="3"/>
      <c r="O1433" s="3"/>
    </row>
    <row r="1434" spans="1:16" ht="18">
      <c r="B1434" s="449" t="s">
        <v>464</v>
      </c>
      <c r="C1434" s="122" t="s">
        <v>85</v>
      </c>
      <c r="D1434" s="47"/>
      <c r="E1434" s="3"/>
      <c r="F1434" s="3"/>
      <c r="G1434" s="3"/>
      <c r="H1434" s="490"/>
      <c r="I1434" s="490"/>
      <c r="J1434" s="503"/>
      <c r="K1434" s="490"/>
      <c r="L1434" s="490"/>
      <c r="M1434" s="490"/>
      <c r="N1434" s="490"/>
      <c r="O1434" s="3"/>
    </row>
    <row r="1435" spans="1:16" ht="18.75">
      <c r="B1435" s="449"/>
      <c r="C1435" s="6"/>
      <c r="D1435" s="47"/>
      <c r="E1435" s="3"/>
      <c r="F1435" s="3"/>
      <c r="G1435" s="3"/>
      <c r="H1435" s="490"/>
      <c r="I1435" s="490"/>
      <c r="J1435" s="503"/>
      <c r="K1435" s="490"/>
      <c r="L1435" s="490"/>
      <c r="M1435" s="490"/>
      <c r="N1435" s="490"/>
      <c r="O1435" s="3"/>
    </row>
    <row r="1436" spans="1:16" ht="18.75">
      <c r="B1436" s="449"/>
      <c r="C1436" s="6" t="s">
        <v>86</v>
      </c>
      <c r="D1436" s="47"/>
      <c r="E1436" s="3"/>
      <c r="F1436" s="3"/>
      <c r="G1436" s="3"/>
      <c r="H1436" s="490"/>
      <c r="I1436" s="490"/>
      <c r="J1436" s="503"/>
      <c r="K1436" s="490"/>
      <c r="L1436" s="490"/>
      <c r="M1436" s="490"/>
      <c r="N1436" s="490"/>
      <c r="O1436" s="3"/>
    </row>
    <row r="1437" spans="1:16" ht="15.75" thickBot="1">
      <c r="C1437" s="131"/>
      <c r="D1437" s="47"/>
      <c r="E1437" s="3"/>
      <c r="F1437" s="3"/>
      <c r="G1437" s="3"/>
      <c r="H1437" s="490"/>
      <c r="I1437" s="490"/>
      <c r="J1437" s="503"/>
      <c r="K1437" s="490"/>
      <c r="L1437" s="490"/>
      <c r="M1437" s="490"/>
      <c r="N1437" s="490"/>
      <c r="O1437" s="3"/>
    </row>
    <row r="1438" spans="1:16" ht="15.75">
      <c r="C1438" s="451" t="s">
        <v>87</v>
      </c>
      <c r="D1438" s="47"/>
      <c r="E1438" s="3"/>
      <c r="F1438" s="3"/>
      <c r="G1438" s="566"/>
      <c r="H1438" s="3" t="s">
        <v>66</v>
      </c>
      <c r="I1438" s="3"/>
      <c r="J1438" s="3"/>
      <c r="K1438" s="509" t="s">
        <v>91</v>
      </c>
      <c r="L1438" s="510"/>
      <c r="M1438" s="511"/>
      <c r="N1438" s="512">
        <f>IF(I1444=0,0,VLOOKUP(I1444,C1451:O1510,5))</f>
        <v>2405619.3240737543</v>
      </c>
      <c r="O1438" s="3"/>
    </row>
    <row r="1439" spans="1:16" ht="15.75">
      <c r="C1439" s="451"/>
      <c r="D1439" s="47"/>
      <c r="E1439" s="3"/>
      <c r="F1439" s="3"/>
      <c r="G1439" s="3"/>
      <c r="H1439" s="513"/>
      <c r="I1439" s="513"/>
      <c r="J1439" s="514"/>
      <c r="K1439" s="515" t="s">
        <v>92</v>
      </c>
      <c r="L1439" s="516"/>
      <c r="M1439" s="3"/>
      <c r="N1439" s="517">
        <f>IF(I1444=0,0,VLOOKUP(I1444,C1451:O1510,6))</f>
        <v>2405619.3240737543</v>
      </c>
      <c r="O1439" s="3"/>
    </row>
    <row r="1440" spans="1:16" ht="13.5" customHeight="1" thickBot="1">
      <c r="C1440" s="518" t="s">
        <v>88</v>
      </c>
      <c r="D1440" s="1194" t="s">
        <v>819</v>
      </c>
      <c r="E1440" s="1194"/>
      <c r="F1440" s="1194"/>
      <c r="G1440" s="1194"/>
      <c r="H1440" s="1194"/>
      <c r="I1440" s="1194"/>
      <c r="J1440" s="503"/>
      <c r="K1440" s="519" t="s">
        <v>230</v>
      </c>
      <c r="L1440" s="520"/>
      <c r="M1440" s="520"/>
      <c r="N1440" s="521">
        <f>+N1439-N1438</f>
        <v>0</v>
      </c>
      <c r="O1440" s="3"/>
    </row>
    <row r="1441" spans="2:15">
      <c r="C1441" s="522"/>
      <c r="D1441" s="1194"/>
      <c r="E1441" s="1194"/>
      <c r="F1441" s="1194"/>
      <c r="G1441" s="1194"/>
      <c r="H1441" s="1194"/>
      <c r="I1441" s="1194"/>
      <c r="J1441" s="503"/>
      <c r="K1441" s="490"/>
      <c r="L1441" s="490"/>
      <c r="M1441" s="490"/>
      <c r="N1441" s="490"/>
      <c r="O1441" s="3"/>
    </row>
    <row r="1442" spans="2:15" ht="13.5" thickBot="1">
      <c r="C1442" s="522"/>
      <c r="D1442" s="3"/>
      <c r="E1442" s="524"/>
      <c r="F1442" s="524"/>
      <c r="G1442" s="524"/>
      <c r="H1442" s="524"/>
      <c r="I1442" s="524"/>
      <c r="J1442" s="524"/>
      <c r="K1442" s="524"/>
      <c r="L1442" s="524"/>
      <c r="M1442" s="524"/>
      <c r="N1442" s="524"/>
      <c r="O1442" s="3"/>
    </row>
    <row r="1443" spans="2:15" ht="13.5" thickBot="1">
      <c r="C1443" s="525" t="s">
        <v>89</v>
      </c>
      <c r="D1443" s="526"/>
      <c r="E1443" s="526"/>
      <c r="F1443" s="526"/>
      <c r="G1443" s="526"/>
      <c r="H1443" s="526"/>
      <c r="I1443" s="527"/>
      <c r="K1443" s="3"/>
      <c r="L1443" s="3"/>
      <c r="M1443" s="3"/>
      <c r="N1443" s="3"/>
      <c r="O1443" s="3"/>
    </row>
    <row r="1444" spans="2:15" ht="15">
      <c r="C1444" s="528" t="s">
        <v>67</v>
      </c>
      <c r="D1444" s="568">
        <v>18412074.410000004</v>
      </c>
      <c r="E1444" s="3" t="s">
        <v>68</v>
      </c>
      <c r="G1444" s="47"/>
      <c r="H1444" s="47"/>
      <c r="I1444" s="529">
        <f>$L$26</f>
        <v>2026</v>
      </c>
      <c r="J1444" s="70"/>
      <c r="K1444" s="1193" t="s">
        <v>239</v>
      </c>
      <c r="L1444" s="1193"/>
      <c r="M1444" s="1193"/>
      <c r="N1444" s="1193"/>
      <c r="O1444" s="1193"/>
    </row>
    <row r="1445" spans="2:15">
      <c r="C1445" s="528" t="s">
        <v>70</v>
      </c>
      <c r="D1445" s="569">
        <v>2015</v>
      </c>
      <c r="E1445" s="528" t="s">
        <v>71</v>
      </c>
      <c r="F1445" s="47"/>
      <c r="H1445"/>
      <c r="I1445" s="570">
        <f>IF(G1438="",0,$F$17)</f>
        <v>0</v>
      </c>
      <c r="J1445" s="530"/>
      <c r="K1445" s="503" t="s">
        <v>239</v>
      </c>
    </row>
    <row r="1446" spans="2:15">
      <c r="C1446" s="528" t="s">
        <v>72</v>
      </c>
      <c r="D1446" s="568">
        <v>7</v>
      </c>
      <c r="E1446" s="528" t="s">
        <v>73</v>
      </c>
      <c r="F1446" s="47"/>
      <c r="H1446"/>
      <c r="I1446" s="531">
        <f>$G$70</f>
        <v>0.14912278949438812</v>
      </c>
      <c r="J1446" s="489"/>
      <c r="K1446" t="str">
        <f>"          INPUT PROJECTED ARR (WITH &amp; WITHOUT INCENTIVES) FROM EACH PRIOR YEAR"</f>
        <v xml:space="preserve">          INPUT PROJECTED ARR (WITH &amp; WITHOUT INCENTIVES) FROM EACH PRIOR YEAR</v>
      </c>
    </row>
    <row r="1447" spans="2:15">
      <c r="C1447" s="528" t="s">
        <v>74</v>
      </c>
      <c r="D1447" s="532">
        <f>$G$79</f>
        <v>34</v>
      </c>
      <c r="E1447" s="528" t="s">
        <v>75</v>
      </c>
      <c r="F1447" s="47"/>
      <c r="H1447"/>
      <c r="I1447" s="531">
        <f>IF(G1438="",I1446,$G$69)</f>
        <v>0.14912278949438812</v>
      </c>
      <c r="J1447" s="489"/>
      <c r="K1447" t="s">
        <v>152</v>
      </c>
    </row>
    <row r="1448" spans="2:15" ht="13.5" thickBot="1">
      <c r="C1448" s="528" t="s">
        <v>76</v>
      </c>
      <c r="D1448" s="567" t="s">
        <v>802</v>
      </c>
      <c r="E1448" s="533" t="s">
        <v>77</v>
      </c>
      <c r="F1448" s="534"/>
      <c r="G1448" s="535"/>
      <c r="H1448" s="535"/>
      <c r="I1448" s="521">
        <f>IF(D1444=0,0,D1444/D1447)</f>
        <v>541531.60029411782</v>
      </c>
      <c r="J1448" s="503"/>
      <c r="K1448" s="503" t="s">
        <v>158</v>
      </c>
      <c r="L1448" s="503"/>
      <c r="M1448" s="503"/>
      <c r="N1448" s="503"/>
      <c r="O1448" s="3"/>
    </row>
    <row r="1449" spans="2:15" ht="38.25">
      <c r="B1449" s="450"/>
      <c r="C1449" s="536" t="s">
        <v>67</v>
      </c>
      <c r="D1449" s="537" t="s">
        <v>78</v>
      </c>
      <c r="E1449" s="538" t="s">
        <v>79</v>
      </c>
      <c r="F1449" s="537" t="s">
        <v>80</v>
      </c>
      <c r="G1449" s="538" t="s">
        <v>151</v>
      </c>
      <c r="H1449" s="539" t="s">
        <v>151</v>
      </c>
      <c r="I1449" s="536" t="s">
        <v>90</v>
      </c>
      <c r="J1449" s="540"/>
      <c r="K1449" s="538" t="s">
        <v>160</v>
      </c>
      <c r="L1449" s="541"/>
      <c r="M1449" s="538" t="s">
        <v>160</v>
      </c>
      <c r="N1449" s="541"/>
      <c r="O1449" s="541"/>
    </row>
    <row r="1450" spans="2:15" ht="13.5" thickBot="1">
      <c r="C1450" s="542" t="s">
        <v>467</v>
      </c>
      <c r="D1450" s="543" t="s">
        <v>468</v>
      </c>
      <c r="E1450" s="542" t="s">
        <v>361</v>
      </c>
      <c r="F1450" s="543" t="s">
        <v>468</v>
      </c>
      <c r="G1450" s="544" t="s">
        <v>93</v>
      </c>
      <c r="H1450" s="545" t="s">
        <v>95</v>
      </c>
      <c r="I1450" s="542" t="s">
        <v>15</v>
      </c>
      <c r="J1450" s="546"/>
      <c r="K1450" s="544" t="s">
        <v>82</v>
      </c>
      <c r="L1450" s="547"/>
      <c r="M1450" s="544" t="s">
        <v>95</v>
      </c>
      <c r="N1450" s="547"/>
      <c r="O1450" s="547"/>
    </row>
    <row r="1451" spans="2:15">
      <c r="C1451" s="548">
        <f>IF(D1445= "","-",D1445)</f>
        <v>2015</v>
      </c>
      <c r="D1451" s="506">
        <f>+D1444</f>
        <v>18412074.410000004</v>
      </c>
      <c r="E1451" s="549">
        <f>+I1448/12*(12-D1446)</f>
        <v>225638.16678921576</v>
      </c>
      <c r="F1451" s="506">
        <f>+D1451-E1451</f>
        <v>18186436.243210789</v>
      </c>
      <c r="G1451" s="723">
        <f>+$I$96*((D1451+F1451)/2)+E1451</f>
        <v>2954474.1667626528</v>
      </c>
      <c r="H1451" s="724">
        <f>$I$97*((D1451+F1451)/2)+E1451</f>
        <v>2954474.1667626528</v>
      </c>
      <c r="I1451" s="552">
        <f>+H1451-G1451</f>
        <v>0</v>
      </c>
      <c r="J1451" s="552"/>
      <c r="K1451" s="571">
        <v>1528116</v>
      </c>
      <c r="L1451" s="553"/>
      <c r="M1451" s="571">
        <v>1528116</v>
      </c>
      <c r="N1451" s="553"/>
      <c r="O1451" s="553"/>
    </row>
    <row r="1452" spans="2:15">
      <c r="C1452" s="548">
        <f>IF(D1445="","-",+C1451+1)</f>
        <v>2016</v>
      </c>
      <c r="D1452" s="506">
        <f t="shared" ref="D1452:D1510" si="90">F1451</f>
        <v>18186436.243210789</v>
      </c>
      <c r="E1452" s="549">
        <f>IF(D1452&gt;$I$1448,$I$1448,D1452)</f>
        <v>541531.60029411782</v>
      </c>
      <c r="F1452" s="506">
        <f t="shared" ref="F1452:F1510" si="91">+D1452-E1452</f>
        <v>17644904.642916672</v>
      </c>
      <c r="G1452" s="554">
        <f t="shared" ref="G1452:G1510" si="92">+$I$96*((D1452+F1452)/2)+E1452</f>
        <v>3213166.3524259413</v>
      </c>
      <c r="H1452" s="555">
        <f t="shared" ref="H1452:H1510" si="93">$I$97*((D1452+F1452)/2)+E1452</f>
        <v>3213166.3524259413</v>
      </c>
      <c r="I1452" s="552">
        <f t="shared" ref="I1452:I1510" si="94">+H1452-G1452</f>
        <v>0</v>
      </c>
      <c r="J1452" s="552"/>
      <c r="K1452" s="572">
        <v>887506</v>
      </c>
      <c r="L1452" s="556"/>
      <c r="M1452" s="572">
        <v>887506</v>
      </c>
      <c r="N1452" s="556"/>
      <c r="O1452" s="556"/>
    </row>
    <row r="1453" spans="2:15">
      <c r="C1453" s="548">
        <f>IF(D1445="","-",+C1452+1)</f>
        <v>2017</v>
      </c>
      <c r="D1453" s="506">
        <f t="shared" si="90"/>
        <v>17644904.642916672</v>
      </c>
      <c r="E1453" s="549">
        <f t="shared" ref="E1453:E1510" si="95">IF(D1453&gt;$I$1448,$I$1448,D1453)</f>
        <v>541531.60029411782</v>
      </c>
      <c r="F1453" s="506">
        <f t="shared" si="91"/>
        <v>17103373.042622555</v>
      </c>
      <c r="G1453" s="554">
        <f t="shared" si="92"/>
        <v>3132411.6495907232</v>
      </c>
      <c r="H1453" s="555">
        <f t="shared" si="93"/>
        <v>3132411.6495907232</v>
      </c>
      <c r="I1453" s="552">
        <f t="shared" si="94"/>
        <v>0</v>
      </c>
      <c r="J1453" s="552"/>
      <c r="K1453" s="572">
        <v>1060430</v>
      </c>
      <c r="L1453" s="556"/>
      <c r="M1453" s="572">
        <v>1060430</v>
      </c>
      <c r="N1453" s="556"/>
      <c r="O1453" s="556"/>
    </row>
    <row r="1454" spans="2:15">
      <c r="C1454" s="974">
        <f>IF(D1445="","-",+C1453+1)</f>
        <v>2018</v>
      </c>
      <c r="D1454" s="506">
        <f t="shared" si="90"/>
        <v>17103373.042622555</v>
      </c>
      <c r="E1454" s="549">
        <f t="shared" si="95"/>
        <v>541531.60029411782</v>
      </c>
      <c r="F1454" s="506">
        <f t="shared" si="91"/>
        <v>16561841.442328438</v>
      </c>
      <c r="G1454" s="554">
        <f t="shared" si="92"/>
        <v>3051656.9467555038</v>
      </c>
      <c r="H1454" s="555">
        <f t="shared" si="93"/>
        <v>3051656.9467555038</v>
      </c>
      <c r="I1454" s="552">
        <f t="shared" si="94"/>
        <v>0</v>
      </c>
      <c r="J1454" s="552"/>
      <c r="K1454" s="572">
        <v>930781</v>
      </c>
      <c r="L1454" s="556"/>
      <c r="M1454" s="572">
        <v>930781</v>
      </c>
      <c r="N1454" s="556"/>
      <c r="O1454" s="556"/>
    </row>
    <row r="1455" spans="2:15">
      <c r="C1455" s="974">
        <f>IF(D1445="","-",+C1454+1)</f>
        <v>2019</v>
      </c>
      <c r="D1455" s="506">
        <f t="shared" si="90"/>
        <v>16561841.442328438</v>
      </c>
      <c r="E1455" s="549">
        <f t="shared" si="95"/>
        <v>541531.60029411782</v>
      </c>
      <c r="F1455" s="506">
        <f t="shared" si="91"/>
        <v>16020309.842034321</v>
      </c>
      <c r="G1455" s="554">
        <f t="shared" si="92"/>
        <v>2970902.2439202853</v>
      </c>
      <c r="H1455" s="555">
        <f t="shared" si="93"/>
        <v>2970902.2439202853</v>
      </c>
      <c r="I1455" s="552">
        <f t="shared" si="94"/>
        <v>0</v>
      </c>
      <c r="J1455" s="552"/>
      <c r="K1455" s="572">
        <v>2918930.4617440552</v>
      </c>
      <c r="L1455" s="556"/>
      <c r="M1455" s="572">
        <v>2918930.4617440552</v>
      </c>
      <c r="N1455" s="556"/>
      <c r="O1455" s="556"/>
    </row>
    <row r="1456" spans="2:15">
      <c r="C1456" s="974">
        <f>IF(D1445="","-",+C1455+1)</f>
        <v>2020</v>
      </c>
      <c r="D1456" s="506">
        <f t="shared" si="90"/>
        <v>16020309.842034321</v>
      </c>
      <c r="E1456" s="549">
        <f t="shared" si="95"/>
        <v>541531.60029411782</v>
      </c>
      <c r="F1456" s="506">
        <f t="shared" si="91"/>
        <v>15478778.241740204</v>
      </c>
      <c r="G1456" s="554">
        <f t="shared" si="92"/>
        <v>2890147.5410850667</v>
      </c>
      <c r="H1456" s="555">
        <f t="shared" si="93"/>
        <v>2890147.5410850667</v>
      </c>
      <c r="I1456" s="552">
        <f t="shared" si="94"/>
        <v>0</v>
      </c>
      <c r="J1456" s="552"/>
      <c r="K1456" s="572">
        <v>3061483.0063108671</v>
      </c>
      <c r="L1456" s="556"/>
      <c r="M1456" s="572">
        <v>3061483.0063108671</v>
      </c>
      <c r="N1456" s="556"/>
      <c r="O1456" s="556"/>
    </row>
    <row r="1457" spans="3:15">
      <c r="C1457" s="974">
        <f>IF(D1445="","-",+C1456+1)</f>
        <v>2021</v>
      </c>
      <c r="D1457" s="506">
        <f t="shared" si="90"/>
        <v>15478778.241740204</v>
      </c>
      <c r="E1457" s="549">
        <f t="shared" si="95"/>
        <v>541531.60029411782</v>
      </c>
      <c r="F1457" s="506">
        <f t="shared" si="91"/>
        <v>14937246.641446088</v>
      </c>
      <c r="G1457" s="554">
        <f t="shared" si="92"/>
        <v>2809392.8382498482</v>
      </c>
      <c r="H1457" s="555">
        <f t="shared" si="93"/>
        <v>2809392.8382498482</v>
      </c>
      <c r="I1457" s="552">
        <f t="shared" si="94"/>
        <v>0</v>
      </c>
      <c r="J1457" s="552"/>
      <c r="K1457" s="572">
        <v>2769457.1254647118</v>
      </c>
      <c r="L1457" s="556"/>
      <c r="M1457" s="572">
        <v>2769457.1254647118</v>
      </c>
      <c r="N1457" s="556"/>
      <c r="O1457" s="556"/>
    </row>
    <row r="1458" spans="3:15">
      <c r="C1458" s="974">
        <f>IF(D1445="","-",+C1457+1)</f>
        <v>2022</v>
      </c>
      <c r="D1458" s="506">
        <f t="shared" si="90"/>
        <v>14937246.641446088</v>
      </c>
      <c r="E1458" s="549">
        <f t="shared" si="95"/>
        <v>541531.60029411782</v>
      </c>
      <c r="F1458" s="506">
        <f t="shared" si="91"/>
        <v>14395715.041151971</v>
      </c>
      <c r="G1458" s="554">
        <f t="shared" si="92"/>
        <v>2728638.1354146292</v>
      </c>
      <c r="H1458" s="555">
        <f t="shared" si="93"/>
        <v>2728638.1354146292</v>
      </c>
      <c r="I1458" s="552">
        <f t="shared" si="94"/>
        <v>0</v>
      </c>
      <c r="J1458" s="552"/>
      <c r="K1458" s="572">
        <v>2767743.1574857417</v>
      </c>
      <c r="L1458" s="556"/>
      <c r="M1458" s="572">
        <v>2767743.1574857417</v>
      </c>
      <c r="N1458" s="556"/>
      <c r="O1458" s="556"/>
    </row>
    <row r="1459" spans="3:15">
      <c r="C1459" s="974">
        <f>IF(D1445="","-",+C1458+1)</f>
        <v>2023</v>
      </c>
      <c r="D1459" s="506">
        <f t="shared" si="90"/>
        <v>14395715.041151971</v>
      </c>
      <c r="E1459" s="549">
        <f t="shared" si="95"/>
        <v>541531.60029411782</v>
      </c>
      <c r="F1459" s="506">
        <f t="shared" si="91"/>
        <v>13854183.440857854</v>
      </c>
      <c r="G1459" s="554">
        <f t="shared" si="92"/>
        <v>2647883.4325794107</v>
      </c>
      <c r="H1459" s="555">
        <f t="shared" si="93"/>
        <v>2647883.4325794107</v>
      </c>
      <c r="I1459" s="552">
        <f t="shared" si="94"/>
        <v>0</v>
      </c>
      <c r="J1459" s="552"/>
      <c r="K1459" s="572">
        <v>2699816.5317287678</v>
      </c>
      <c r="L1459" s="556"/>
      <c r="M1459" s="572">
        <v>2699816.5317287678</v>
      </c>
      <c r="N1459" s="556"/>
      <c r="O1459" s="556"/>
    </row>
    <row r="1460" spans="3:15">
      <c r="C1460" s="548">
        <f>IF(D1445="","-",+C1459+1)</f>
        <v>2024</v>
      </c>
      <c r="D1460" s="506">
        <f t="shared" si="90"/>
        <v>13854183.440857854</v>
      </c>
      <c r="E1460" s="549">
        <f t="shared" si="95"/>
        <v>541531.60029411782</v>
      </c>
      <c r="F1460" s="506">
        <f t="shared" si="91"/>
        <v>13312651.840563737</v>
      </c>
      <c r="G1460" s="554">
        <f t="shared" si="92"/>
        <v>2567128.7297441917</v>
      </c>
      <c r="H1460" s="555">
        <f t="shared" si="93"/>
        <v>2567128.7297441917</v>
      </c>
      <c r="I1460" s="552">
        <f t="shared" si="94"/>
        <v>0</v>
      </c>
      <c r="J1460" s="552"/>
      <c r="K1460" s="572">
        <v>2579510.5731292958</v>
      </c>
      <c r="L1460" s="556"/>
      <c r="M1460" s="572">
        <v>2579510.5731292958</v>
      </c>
      <c r="N1460" s="556"/>
      <c r="O1460" s="556"/>
    </row>
    <row r="1461" spans="3:15">
      <c r="C1461" s="548">
        <f>IF(D1445="","-",+C1460+1)</f>
        <v>2025</v>
      </c>
      <c r="D1461" s="506">
        <f t="shared" si="90"/>
        <v>13312651.840563737</v>
      </c>
      <c r="E1461" s="549">
        <f t="shared" si="95"/>
        <v>541531.60029411782</v>
      </c>
      <c r="F1461" s="506">
        <f t="shared" si="91"/>
        <v>12771120.24026962</v>
      </c>
      <c r="G1461" s="554">
        <f t="shared" si="92"/>
        <v>2486374.0269089732</v>
      </c>
      <c r="H1461" s="555">
        <f t="shared" si="93"/>
        <v>2486374.0269089732</v>
      </c>
      <c r="I1461" s="552">
        <f t="shared" si="94"/>
        <v>0</v>
      </c>
      <c r="J1461" s="552"/>
      <c r="K1461" s="572">
        <v>2493330.9036984146</v>
      </c>
      <c r="L1461" s="556"/>
      <c r="M1461" s="572">
        <v>2493330.9036984146</v>
      </c>
      <c r="N1461" s="556"/>
      <c r="O1461" s="556"/>
    </row>
    <row r="1462" spans="3:15">
      <c r="C1462" s="955">
        <f>IF(D1445="","-",+C1461+1)</f>
        <v>2026</v>
      </c>
      <c r="D1462" s="506">
        <f t="shared" si="90"/>
        <v>12771120.24026962</v>
      </c>
      <c r="E1462" s="549">
        <f t="shared" si="95"/>
        <v>541531.60029411782</v>
      </c>
      <c r="F1462" s="506">
        <f t="shared" si="91"/>
        <v>12229588.639975503</v>
      </c>
      <c r="G1462" s="554">
        <f t="shared" si="92"/>
        <v>2405619.3240737543</v>
      </c>
      <c r="H1462" s="555">
        <f t="shared" si="93"/>
        <v>2405619.3240737543</v>
      </c>
      <c r="I1462" s="552">
        <f t="shared" si="94"/>
        <v>0</v>
      </c>
      <c r="J1462" s="552"/>
      <c r="K1462" s="572"/>
      <c r="L1462" s="556"/>
      <c r="M1462" s="572"/>
      <c r="N1462" s="556"/>
      <c r="O1462" s="556"/>
    </row>
    <row r="1463" spans="3:15">
      <c r="C1463" s="548">
        <f>IF(D1445="","-",+C1462+1)</f>
        <v>2027</v>
      </c>
      <c r="D1463" s="506">
        <f t="shared" si="90"/>
        <v>12229588.639975503</v>
      </c>
      <c r="E1463" s="549">
        <f t="shared" si="95"/>
        <v>541531.60029411782</v>
      </c>
      <c r="F1463" s="506">
        <f t="shared" si="91"/>
        <v>11688057.039681386</v>
      </c>
      <c r="G1463" s="554">
        <f t="shared" si="92"/>
        <v>2324864.6212385357</v>
      </c>
      <c r="H1463" s="555">
        <f t="shared" si="93"/>
        <v>2324864.6212385357</v>
      </c>
      <c r="I1463" s="552">
        <f t="shared" si="94"/>
        <v>0</v>
      </c>
      <c r="J1463" s="552"/>
      <c r="K1463" s="572"/>
      <c r="L1463" s="556"/>
      <c r="M1463" s="572"/>
      <c r="N1463" s="557"/>
      <c r="O1463" s="556"/>
    </row>
    <row r="1464" spans="3:15">
      <c r="C1464" s="548">
        <f>IF(D1445="","-",+C1463+1)</f>
        <v>2028</v>
      </c>
      <c r="D1464" s="506">
        <f t="shared" si="90"/>
        <v>11688057.039681386</v>
      </c>
      <c r="E1464" s="549">
        <f t="shared" si="95"/>
        <v>541531.60029411782</v>
      </c>
      <c r="F1464" s="506">
        <f t="shared" si="91"/>
        <v>11146525.439387269</v>
      </c>
      <c r="G1464" s="554">
        <f t="shared" si="92"/>
        <v>2244109.9184033172</v>
      </c>
      <c r="H1464" s="555">
        <f t="shared" si="93"/>
        <v>2244109.9184033172</v>
      </c>
      <c r="I1464" s="552">
        <f t="shared" si="94"/>
        <v>0</v>
      </c>
      <c r="J1464" s="552"/>
      <c r="K1464" s="572"/>
      <c r="L1464" s="556"/>
      <c r="M1464" s="572"/>
      <c r="N1464" s="556"/>
      <c r="O1464" s="556"/>
    </row>
    <row r="1465" spans="3:15">
      <c r="C1465" s="548">
        <f>IF(D1445="","-",+C1464+1)</f>
        <v>2029</v>
      </c>
      <c r="D1465" s="506">
        <f t="shared" si="90"/>
        <v>11146525.439387269</v>
      </c>
      <c r="E1465" s="549">
        <f t="shared" si="95"/>
        <v>541531.60029411782</v>
      </c>
      <c r="F1465" s="506">
        <f t="shared" si="91"/>
        <v>10604993.839093152</v>
      </c>
      <c r="G1465" s="554">
        <f t="shared" si="92"/>
        <v>2163355.2155680982</v>
      </c>
      <c r="H1465" s="555">
        <f t="shared" si="93"/>
        <v>2163355.2155680982</v>
      </c>
      <c r="I1465" s="552">
        <f t="shared" si="94"/>
        <v>0</v>
      </c>
      <c r="J1465" s="552"/>
      <c r="K1465" s="572"/>
      <c r="L1465" s="556"/>
      <c r="M1465" s="572"/>
      <c r="N1465" s="556"/>
      <c r="O1465" s="556"/>
    </row>
    <row r="1466" spans="3:15">
      <c r="C1466" s="548">
        <f>IF(D1445="","-",+C1465+1)</f>
        <v>2030</v>
      </c>
      <c r="D1466" s="506">
        <f t="shared" si="90"/>
        <v>10604993.839093152</v>
      </c>
      <c r="E1466" s="549">
        <f t="shared" si="95"/>
        <v>541531.60029411782</v>
      </c>
      <c r="F1466" s="506">
        <f t="shared" si="91"/>
        <v>10063462.238799036</v>
      </c>
      <c r="G1466" s="554">
        <f t="shared" si="92"/>
        <v>2082600.5127328795</v>
      </c>
      <c r="H1466" s="555">
        <f t="shared" si="93"/>
        <v>2082600.5127328795</v>
      </c>
      <c r="I1466" s="552">
        <f t="shared" si="94"/>
        <v>0</v>
      </c>
      <c r="J1466" s="552"/>
      <c r="K1466" s="572"/>
      <c r="L1466" s="556"/>
      <c r="M1466" s="572"/>
      <c r="N1466" s="556"/>
      <c r="O1466" s="556"/>
    </row>
    <row r="1467" spans="3:15">
      <c r="C1467" s="548">
        <f>IF(D1445="","-",+C1466+1)</f>
        <v>2031</v>
      </c>
      <c r="D1467" s="506">
        <f t="shared" si="90"/>
        <v>10063462.238799036</v>
      </c>
      <c r="E1467" s="549">
        <f t="shared" si="95"/>
        <v>541531.60029411782</v>
      </c>
      <c r="F1467" s="506">
        <f t="shared" si="91"/>
        <v>9521930.6385049187</v>
      </c>
      <c r="G1467" s="554">
        <f t="shared" si="92"/>
        <v>2001845.8098976607</v>
      </c>
      <c r="H1467" s="555">
        <f t="shared" si="93"/>
        <v>2001845.8098976607</v>
      </c>
      <c r="I1467" s="552">
        <f t="shared" si="94"/>
        <v>0</v>
      </c>
      <c r="J1467" s="552"/>
      <c r="K1467" s="572"/>
      <c r="L1467" s="556"/>
      <c r="M1467" s="572"/>
      <c r="N1467" s="556"/>
      <c r="O1467" s="556"/>
    </row>
    <row r="1468" spans="3:15">
      <c r="C1468" s="548">
        <f>IF(D1445="","-",+C1467+1)</f>
        <v>2032</v>
      </c>
      <c r="D1468" s="506">
        <f t="shared" si="90"/>
        <v>9521930.6385049187</v>
      </c>
      <c r="E1468" s="549">
        <f t="shared" si="95"/>
        <v>541531.60029411782</v>
      </c>
      <c r="F1468" s="506">
        <f t="shared" si="91"/>
        <v>8980399.0382108018</v>
      </c>
      <c r="G1468" s="554">
        <f t="shared" si="92"/>
        <v>1921091.107062442</v>
      </c>
      <c r="H1468" s="555">
        <f t="shared" si="93"/>
        <v>1921091.107062442</v>
      </c>
      <c r="I1468" s="552">
        <f t="shared" si="94"/>
        <v>0</v>
      </c>
      <c r="J1468" s="552"/>
      <c r="K1468" s="572"/>
      <c r="L1468" s="556"/>
      <c r="M1468" s="572"/>
      <c r="N1468" s="556"/>
      <c r="O1468" s="556"/>
    </row>
    <row r="1469" spans="3:15">
      <c r="C1469" s="548">
        <f>IF(D1445="","-",+C1468+1)</f>
        <v>2033</v>
      </c>
      <c r="D1469" s="506">
        <f t="shared" si="90"/>
        <v>8980399.0382108018</v>
      </c>
      <c r="E1469" s="549">
        <f t="shared" si="95"/>
        <v>541531.60029411782</v>
      </c>
      <c r="F1469" s="506">
        <f t="shared" si="91"/>
        <v>8438867.4379166849</v>
      </c>
      <c r="G1469" s="554">
        <f t="shared" si="92"/>
        <v>1840336.4042272235</v>
      </c>
      <c r="H1469" s="555">
        <f t="shared" si="93"/>
        <v>1840336.4042272235</v>
      </c>
      <c r="I1469" s="552">
        <f t="shared" si="94"/>
        <v>0</v>
      </c>
      <c r="J1469" s="552"/>
      <c r="K1469" s="572"/>
      <c r="L1469" s="556"/>
      <c r="M1469" s="572"/>
      <c r="N1469" s="556"/>
      <c r="O1469" s="556"/>
    </row>
    <row r="1470" spans="3:15">
      <c r="C1470" s="548">
        <f>IF(D1445="","-",+C1469+1)</f>
        <v>2034</v>
      </c>
      <c r="D1470" s="506">
        <f t="shared" si="90"/>
        <v>8438867.4379166849</v>
      </c>
      <c r="E1470" s="549">
        <f t="shared" si="95"/>
        <v>541531.60029411782</v>
      </c>
      <c r="F1470" s="506">
        <f t="shared" si="91"/>
        <v>7897335.8376225671</v>
      </c>
      <c r="G1470" s="554">
        <f t="shared" si="92"/>
        <v>1759581.7013920047</v>
      </c>
      <c r="H1470" s="555">
        <f t="shared" si="93"/>
        <v>1759581.7013920047</v>
      </c>
      <c r="I1470" s="552">
        <f t="shared" si="94"/>
        <v>0</v>
      </c>
      <c r="J1470" s="552"/>
      <c r="K1470" s="572"/>
      <c r="L1470" s="556"/>
      <c r="M1470" s="572"/>
      <c r="N1470" s="556"/>
      <c r="O1470" s="556"/>
    </row>
    <row r="1471" spans="3:15">
      <c r="C1471" s="548">
        <f>IF(D1445="","-",+C1470+1)</f>
        <v>2035</v>
      </c>
      <c r="D1471" s="506">
        <f t="shared" si="90"/>
        <v>7897335.8376225671</v>
      </c>
      <c r="E1471" s="549">
        <f t="shared" si="95"/>
        <v>541531.60029411782</v>
      </c>
      <c r="F1471" s="506">
        <f t="shared" si="91"/>
        <v>7355804.2373284493</v>
      </c>
      <c r="G1471" s="554">
        <f t="shared" si="92"/>
        <v>1678826.9985567858</v>
      </c>
      <c r="H1471" s="555">
        <f t="shared" si="93"/>
        <v>1678826.9985567858</v>
      </c>
      <c r="I1471" s="552">
        <f t="shared" si="94"/>
        <v>0</v>
      </c>
      <c r="J1471" s="552"/>
      <c r="K1471" s="572"/>
      <c r="L1471" s="556"/>
      <c r="M1471" s="572"/>
      <c r="N1471" s="556"/>
      <c r="O1471" s="556"/>
    </row>
    <row r="1472" spans="3:15">
      <c r="C1472" s="548">
        <f>IF(D1445="","-",+C1471+1)</f>
        <v>2036</v>
      </c>
      <c r="D1472" s="506">
        <f t="shared" si="90"/>
        <v>7355804.2373284493</v>
      </c>
      <c r="E1472" s="549">
        <f t="shared" si="95"/>
        <v>541531.60029411782</v>
      </c>
      <c r="F1472" s="506">
        <f t="shared" si="91"/>
        <v>6814272.6370343314</v>
      </c>
      <c r="G1472" s="554">
        <f t="shared" si="92"/>
        <v>1598072.295721567</v>
      </c>
      <c r="H1472" s="555">
        <f t="shared" si="93"/>
        <v>1598072.295721567</v>
      </c>
      <c r="I1472" s="552">
        <f t="shared" si="94"/>
        <v>0</v>
      </c>
      <c r="J1472" s="552"/>
      <c r="K1472" s="572"/>
      <c r="L1472" s="556"/>
      <c r="M1472" s="572"/>
      <c r="N1472" s="556"/>
      <c r="O1472" s="556"/>
    </row>
    <row r="1473" spans="3:15">
      <c r="C1473" s="548">
        <f>IF(D1445="","-",+C1472+1)</f>
        <v>2037</v>
      </c>
      <c r="D1473" s="506">
        <f t="shared" si="90"/>
        <v>6814272.6370343314</v>
      </c>
      <c r="E1473" s="549">
        <f t="shared" si="95"/>
        <v>541531.60029411782</v>
      </c>
      <c r="F1473" s="506">
        <f t="shared" si="91"/>
        <v>6272741.0367402136</v>
      </c>
      <c r="G1473" s="554">
        <f t="shared" si="92"/>
        <v>1517317.5928863478</v>
      </c>
      <c r="H1473" s="555">
        <f t="shared" si="93"/>
        <v>1517317.5928863478</v>
      </c>
      <c r="I1473" s="552">
        <f t="shared" si="94"/>
        <v>0</v>
      </c>
      <c r="J1473" s="552"/>
      <c r="K1473" s="572"/>
      <c r="L1473" s="556"/>
      <c r="M1473" s="572"/>
      <c r="N1473" s="556"/>
      <c r="O1473" s="556"/>
    </row>
    <row r="1474" spans="3:15">
      <c r="C1474" s="548">
        <f>IF(D1445="","-",+C1473+1)</f>
        <v>2038</v>
      </c>
      <c r="D1474" s="506">
        <f t="shared" si="90"/>
        <v>6272741.0367402136</v>
      </c>
      <c r="E1474" s="549">
        <f t="shared" si="95"/>
        <v>541531.60029411782</v>
      </c>
      <c r="F1474" s="506">
        <f t="shared" si="91"/>
        <v>5731209.4364460958</v>
      </c>
      <c r="G1474" s="554">
        <f t="shared" si="92"/>
        <v>1436562.8900511293</v>
      </c>
      <c r="H1474" s="555">
        <f t="shared" si="93"/>
        <v>1436562.8900511293</v>
      </c>
      <c r="I1474" s="552">
        <f t="shared" si="94"/>
        <v>0</v>
      </c>
      <c r="J1474" s="552"/>
      <c r="K1474" s="572"/>
      <c r="L1474" s="556"/>
      <c r="M1474" s="572"/>
      <c r="N1474" s="556"/>
      <c r="O1474" s="556"/>
    </row>
    <row r="1475" spans="3:15">
      <c r="C1475" s="548">
        <f>IF(D1445="","-",+C1474+1)</f>
        <v>2039</v>
      </c>
      <c r="D1475" s="506">
        <f t="shared" si="90"/>
        <v>5731209.4364460958</v>
      </c>
      <c r="E1475" s="549">
        <f t="shared" si="95"/>
        <v>541531.60029411782</v>
      </c>
      <c r="F1475" s="506">
        <f t="shared" si="91"/>
        <v>5189677.836151978</v>
      </c>
      <c r="G1475" s="554">
        <f t="shared" si="92"/>
        <v>1355808.1872159103</v>
      </c>
      <c r="H1475" s="555">
        <f t="shared" si="93"/>
        <v>1355808.1872159103</v>
      </c>
      <c r="I1475" s="552">
        <f t="shared" si="94"/>
        <v>0</v>
      </c>
      <c r="J1475" s="552"/>
      <c r="K1475" s="572"/>
      <c r="L1475" s="556"/>
      <c r="M1475" s="572"/>
      <c r="N1475" s="556"/>
      <c r="O1475" s="556"/>
    </row>
    <row r="1476" spans="3:15">
      <c r="C1476" s="548">
        <f>IF(D1445="","-",+C1475+1)</f>
        <v>2040</v>
      </c>
      <c r="D1476" s="506">
        <f t="shared" si="90"/>
        <v>5189677.836151978</v>
      </c>
      <c r="E1476" s="549">
        <f t="shared" si="95"/>
        <v>541531.60029411782</v>
      </c>
      <c r="F1476" s="506">
        <f t="shared" si="91"/>
        <v>4648146.2358578602</v>
      </c>
      <c r="G1476" s="554">
        <f t="shared" si="92"/>
        <v>1275053.4843806915</v>
      </c>
      <c r="H1476" s="555">
        <f t="shared" si="93"/>
        <v>1275053.4843806915</v>
      </c>
      <c r="I1476" s="552">
        <f t="shared" si="94"/>
        <v>0</v>
      </c>
      <c r="J1476" s="552"/>
      <c r="K1476" s="572"/>
      <c r="L1476" s="556"/>
      <c r="M1476" s="572"/>
      <c r="N1476" s="556"/>
      <c r="O1476" s="556"/>
    </row>
    <row r="1477" spans="3:15">
      <c r="C1477" s="548">
        <f>IF(D1445="","-",+C1476+1)</f>
        <v>2041</v>
      </c>
      <c r="D1477" s="506">
        <f t="shared" si="90"/>
        <v>4648146.2358578602</v>
      </c>
      <c r="E1477" s="549">
        <f t="shared" si="95"/>
        <v>541531.60029411782</v>
      </c>
      <c r="F1477" s="506">
        <f t="shared" si="91"/>
        <v>4106614.6355637424</v>
      </c>
      <c r="G1477" s="554">
        <f t="shared" si="92"/>
        <v>1194298.7815454726</v>
      </c>
      <c r="H1477" s="555">
        <f t="shared" si="93"/>
        <v>1194298.7815454726</v>
      </c>
      <c r="I1477" s="552">
        <f t="shared" si="94"/>
        <v>0</v>
      </c>
      <c r="J1477" s="552"/>
      <c r="K1477" s="572"/>
      <c r="L1477" s="556"/>
      <c r="M1477" s="572"/>
      <c r="N1477" s="556"/>
      <c r="O1477" s="556"/>
    </row>
    <row r="1478" spans="3:15">
      <c r="C1478" s="548">
        <f>IF(D1445="","-",+C1477+1)</f>
        <v>2042</v>
      </c>
      <c r="D1478" s="506">
        <f t="shared" si="90"/>
        <v>4106614.6355637424</v>
      </c>
      <c r="E1478" s="549">
        <f t="shared" si="95"/>
        <v>541531.60029411782</v>
      </c>
      <c r="F1478" s="506">
        <f t="shared" si="91"/>
        <v>3565083.0352696246</v>
      </c>
      <c r="G1478" s="554">
        <f t="shared" si="92"/>
        <v>1113544.0787102538</v>
      </c>
      <c r="H1478" s="555">
        <f t="shared" si="93"/>
        <v>1113544.0787102538</v>
      </c>
      <c r="I1478" s="552">
        <f t="shared" si="94"/>
        <v>0</v>
      </c>
      <c r="J1478" s="552"/>
      <c r="K1478" s="572"/>
      <c r="L1478" s="556"/>
      <c r="M1478" s="572"/>
      <c r="N1478" s="556"/>
      <c r="O1478" s="556"/>
    </row>
    <row r="1479" spans="3:15">
      <c r="C1479" s="548">
        <f>IF(D1445="","-",+C1478+1)</f>
        <v>2043</v>
      </c>
      <c r="D1479" s="506">
        <f t="shared" si="90"/>
        <v>3565083.0352696246</v>
      </c>
      <c r="E1479" s="549">
        <f t="shared" si="95"/>
        <v>541531.60029411782</v>
      </c>
      <c r="F1479" s="506">
        <f t="shared" si="91"/>
        <v>3023551.4349755067</v>
      </c>
      <c r="G1479" s="550">
        <f t="shared" si="92"/>
        <v>1032789.3758750348</v>
      </c>
      <c r="H1479" s="555">
        <f t="shared" si="93"/>
        <v>1032789.3758750348</v>
      </c>
      <c r="I1479" s="552">
        <f t="shared" si="94"/>
        <v>0</v>
      </c>
      <c r="J1479" s="552"/>
      <c r="K1479" s="572"/>
      <c r="L1479" s="556"/>
      <c r="M1479" s="572"/>
      <c r="N1479" s="556"/>
      <c r="O1479" s="556"/>
    </row>
    <row r="1480" spans="3:15">
      <c r="C1480" s="548">
        <f>IF(D1445="","-",+C1479+1)</f>
        <v>2044</v>
      </c>
      <c r="D1480" s="506">
        <f t="shared" si="90"/>
        <v>3023551.4349755067</v>
      </c>
      <c r="E1480" s="549">
        <f t="shared" si="95"/>
        <v>541531.60029411782</v>
      </c>
      <c r="F1480" s="506">
        <f t="shared" si="91"/>
        <v>2482019.8346813889</v>
      </c>
      <c r="G1480" s="554">
        <f t="shared" si="92"/>
        <v>952034.67303981609</v>
      </c>
      <c r="H1480" s="555">
        <f t="shared" si="93"/>
        <v>952034.67303981609</v>
      </c>
      <c r="I1480" s="552">
        <f t="shared" si="94"/>
        <v>0</v>
      </c>
      <c r="J1480" s="552"/>
      <c r="K1480" s="572"/>
      <c r="L1480" s="556"/>
      <c r="M1480" s="572"/>
      <c r="N1480" s="556"/>
      <c r="O1480" s="556"/>
    </row>
    <row r="1481" spans="3:15">
      <c r="C1481" s="548">
        <f>IF(D1445="","-",+C1480+1)</f>
        <v>2045</v>
      </c>
      <c r="D1481" s="506">
        <f t="shared" si="90"/>
        <v>2482019.8346813889</v>
      </c>
      <c r="E1481" s="549">
        <f t="shared" si="95"/>
        <v>541531.60029411782</v>
      </c>
      <c r="F1481" s="506">
        <f t="shared" si="91"/>
        <v>1940488.2343872711</v>
      </c>
      <c r="G1481" s="554">
        <f t="shared" si="92"/>
        <v>871279.97020459711</v>
      </c>
      <c r="H1481" s="555">
        <f t="shared" si="93"/>
        <v>871279.97020459711</v>
      </c>
      <c r="I1481" s="552">
        <f t="shared" si="94"/>
        <v>0</v>
      </c>
      <c r="J1481" s="552"/>
      <c r="K1481" s="572"/>
      <c r="L1481" s="556"/>
      <c r="M1481" s="572"/>
      <c r="N1481" s="556"/>
      <c r="O1481" s="556"/>
    </row>
    <row r="1482" spans="3:15">
      <c r="C1482" s="548">
        <f>IF(D1445="","-",+C1481+1)</f>
        <v>2046</v>
      </c>
      <c r="D1482" s="506">
        <f t="shared" si="90"/>
        <v>1940488.2343872711</v>
      </c>
      <c r="E1482" s="549">
        <f t="shared" si="95"/>
        <v>541531.60029411782</v>
      </c>
      <c r="F1482" s="506">
        <f t="shared" si="91"/>
        <v>1398956.6340931533</v>
      </c>
      <c r="G1482" s="554">
        <f t="shared" si="92"/>
        <v>790525.26736937836</v>
      </c>
      <c r="H1482" s="555">
        <f t="shared" si="93"/>
        <v>790525.26736937836</v>
      </c>
      <c r="I1482" s="552">
        <f t="shared" si="94"/>
        <v>0</v>
      </c>
      <c r="J1482" s="552"/>
      <c r="K1482" s="572"/>
      <c r="L1482" s="556"/>
      <c r="M1482" s="572"/>
      <c r="N1482" s="556"/>
      <c r="O1482" s="556"/>
    </row>
    <row r="1483" spans="3:15">
      <c r="C1483" s="548">
        <f>IF(D1445="","-",+C1482+1)</f>
        <v>2047</v>
      </c>
      <c r="D1483" s="506">
        <f t="shared" si="90"/>
        <v>1398956.6340931533</v>
      </c>
      <c r="E1483" s="549">
        <f t="shared" si="95"/>
        <v>541531.60029411782</v>
      </c>
      <c r="F1483" s="506">
        <f t="shared" si="91"/>
        <v>857425.03379903547</v>
      </c>
      <c r="G1483" s="554">
        <f t="shared" si="92"/>
        <v>709770.56453415938</v>
      </c>
      <c r="H1483" s="555">
        <f t="shared" si="93"/>
        <v>709770.56453415938</v>
      </c>
      <c r="I1483" s="552">
        <f t="shared" si="94"/>
        <v>0</v>
      </c>
      <c r="J1483" s="552"/>
      <c r="K1483" s="572"/>
      <c r="L1483" s="556"/>
      <c r="M1483" s="572"/>
      <c r="N1483" s="556"/>
      <c r="O1483" s="556"/>
    </row>
    <row r="1484" spans="3:15">
      <c r="C1484" s="548">
        <f>IF(D1445="","-",+C1483+1)</f>
        <v>2048</v>
      </c>
      <c r="D1484" s="506">
        <f t="shared" si="90"/>
        <v>857425.03379903547</v>
      </c>
      <c r="E1484" s="549">
        <f t="shared" si="95"/>
        <v>541531.60029411782</v>
      </c>
      <c r="F1484" s="506">
        <f t="shared" si="91"/>
        <v>315893.43350491766</v>
      </c>
      <c r="G1484" s="554">
        <f t="shared" si="92"/>
        <v>629015.86169894063</v>
      </c>
      <c r="H1484" s="555">
        <f t="shared" si="93"/>
        <v>629015.86169894063</v>
      </c>
      <c r="I1484" s="552">
        <f t="shared" si="94"/>
        <v>0</v>
      </c>
      <c r="J1484" s="552"/>
      <c r="K1484" s="572"/>
      <c r="L1484" s="556"/>
      <c r="M1484" s="572"/>
      <c r="N1484" s="556"/>
      <c r="O1484" s="556"/>
    </row>
    <row r="1485" spans="3:15">
      <c r="C1485" s="548">
        <f>IF(D1445="","-",+C1484+1)</f>
        <v>2049</v>
      </c>
      <c r="D1485" s="506">
        <f t="shared" si="90"/>
        <v>315893.43350491766</v>
      </c>
      <c r="E1485" s="549">
        <f t="shared" si="95"/>
        <v>315893.43350491766</v>
      </c>
      <c r="F1485" s="506">
        <f t="shared" si="91"/>
        <v>0</v>
      </c>
      <c r="G1485" s="554">
        <f t="shared" si="92"/>
        <v>339446.88849852432</v>
      </c>
      <c r="H1485" s="555">
        <f t="shared" si="93"/>
        <v>339446.88849852432</v>
      </c>
      <c r="I1485" s="552">
        <f t="shared" si="94"/>
        <v>0</v>
      </c>
      <c r="J1485" s="552"/>
      <c r="K1485" s="572"/>
      <c r="L1485" s="556"/>
      <c r="M1485" s="572"/>
      <c r="N1485" s="556"/>
      <c r="O1485" s="556"/>
    </row>
    <row r="1486" spans="3:15">
      <c r="C1486" s="548">
        <f>IF(D1445="","-",+C1485+1)</f>
        <v>2050</v>
      </c>
      <c r="D1486" s="506">
        <f t="shared" si="90"/>
        <v>0</v>
      </c>
      <c r="E1486" s="549">
        <f t="shared" si="95"/>
        <v>0</v>
      </c>
      <c r="F1486" s="506">
        <f t="shared" si="91"/>
        <v>0</v>
      </c>
      <c r="G1486" s="554">
        <f t="shared" si="92"/>
        <v>0</v>
      </c>
      <c r="H1486" s="555">
        <f t="shared" si="93"/>
        <v>0</v>
      </c>
      <c r="I1486" s="552">
        <f t="shared" si="94"/>
        <v>0</v>
      </c>
      <c r="J1486" s="552"/>
      <c r="K1486" s="572"/>
      <c r="L1486" s="556"/>
      <c r="M1486" s="572"/>
      <c r="N1486" s="556"/>
      <c r="O1486" s="556"/>
    </row>
    <row r="1487" spans="3:15">
      <c r="C1487" s="548">
        <f>IF(D1445="","-",+C1486+1)</f>
        <v>2051</v>
      </c>
      <c r="D1487" s="506">
        <f t="shared" si="90"/>
        <v>0</v>
      </c>
      <c r="E1487" s="549">
        <f t="shared" si="95"/>
        <v>0</v>
      </c>
      <c r="F1487" s="506">
        <f t="shared" si="91"/>
        <v>0</v>
      </c>
      <c r="G1487" s="554">
        <f t="shared" si="92"/>
        <v>0</v>
      </c>
      <c r="H1487" s="555">
        <f t="shared" si="93"/>
        <v>0</v>
      </c>
      <c r="I1487" s="552">
        <f t="shared" si="94"/>
        <v>0</v>
      </c>
      <c r="J1487" s="552"/>
      <c r="K1487" s="572"/>
      <c r="L1487" s="556"/>
      <c r="M1487" s="572"/>
      <c r="N1487" s="556"/>
      <c r="O1487" s="556"/>
    </row>
    <row r="1488" spans="3:15">
      <c r="C1488" s="548">
        <f>IF(D1445="","-",+C1487+1)</f>
        <v>2052</v>
      </c>
      <c r="D1488" s="506">
        <f t="shared" si="90"/>
        <v>0</v>
      </c>
      <c r="E1488" s="549">
        <f t="shared" si="95"/>
        <v>0</v>
      </c>
      <c r="F1488" s="506">
        <f t="shared" si="91"/>
        <v>0</v>
      </c>
      <c r="G1488" s="554">
        <f t="shared" si="92"/>
        <v>0</v>
      </c>
      <c r="H1488" s="555">
        <f t="shared" si="93"/>
        <v>0</v>
      </c>
      <c r="I1488" s="552">
        <f t="shared" si="94"/>
        <v>0</v>
      </c>
      <c r="J1488" s="552"/>
      <c r="K1488" s="572"/>
      <c r="L1488" s="556"/>
      <c r="M1488" s="572"/>
      <c r="N1488" s="556"/>
      <c r="O1488" s="556"/>
    </row>
    <row r="1489" spans="3:15">
      <c r="C1489" s="548">
        <f>IF(D1445="","-",+C1488+1)</f>
        <v>2053</v>
      </c>
      <c r="D1489" s="506">
        <f t="shared" si="90"/>
        <v>0</v>
      </c>
      <c r="E1489" s="549">
        <f t="shared" si="95"/>
        <v>0</v>
      </c>
      <c r="F1489" s="506">
        <f t="shared" si="91"/>
        <v>0</v>
      </c>
      <c r="G1489" s="554">
        <f t="shared" si="92"/>
        <v>0</v>
      </c>
      <c r="H1489" s="555">
        <f t="shared" si="93"/>
        <v>0</v>
      </c>
      <c r="I1489" s="552">
        <f t="shared" si="94"/>
        <v>0</v>
      </c>
      <c r="J1489" s="552"/>
      <c r="K1489" s="572"/>
      <c r="L1489" s="556"/>
      <c r="M1489" s="572"/>
      <c r="N1489" s="556"/>
      <c r="O1489" s="556"/>
    </row>
    <row r="1490" spans="3:15">
      <c r="C1490" s="548">
        <f>IF(D1445="","-",+C1489+1)</f>
        <v>2054</v>
      </c>
      <c r="D1490" s="506">
        <f t="shared" si="90"/>
        <v>0</v>
      </c>
      <c r="E1490" s="549">
        <f t="shared" si="95"/>
        <v>0</v>
      </c>
      <c r="F1490" s="506">
        <f t="shared" si="91"/>
        <v>0</v>
      </c>
      <c r="G1490" s="554">
        <f t="shared" si="92"/>
        <v>0</v>
      </c>
      <c r="H1490" s="555">
        <f t="shared" si="93"/>
        <v>0</v>
      </c>
      <c r="I1490" s="552">
        <f t="shared" si="94"/>
        <v>0</v>
      </c>
      <c r="J1490" s="552"/>
      <c r="K1490" s="572"/>
      <c r="L1490" s="556"/>
      <c r="M1490" s="572"/>
      <c r="N1490" s="556"/>
      <c r="O1490" s="556"/>
    </row>
    <row r="1491" spans="3:15">
      <c r="C1491" s="548">
        <f>IF(D1445="","-",+C1490+1)</f>
        <v>2055</v>
      </c>
      <c r="D1491" s="506">
        <f t="shared" si="90"/>
        <v>0</v>
      </c>
      <c r="E1491" s="549">
        <f t="shared" si="95"/>
        <v>0</v>
      </c>
      <c r="F1491" s="506">
        <f t="shared" si="91"/>
        <v>0</v>
      </c>
      <c r="G1491" s="554">
        <f t="shared" si="92"/>
        <v>0</v>
      </c>
      <c r="H1491" s="555">
        <f t="shared" si="93"/>
        <v>0</v>
      </c>
      <c r="I1491" s="552">
        <f t="shared" si="94"/>
        <v>0</v>
      </c>
      <c r="J1491" s="552"/>
      <c r="K1491" s="572"/>
      <c r="L1491" s="556"/>
      <c r="M1491" s="572"/>
      <c r="N1491" s="556"/>
      <c r="O1491" s="556"/>
    </row>
    <row r="1492" spans="3:15">
      <c r="C1492" s="548">
        <f>IF(D1445="","-",+C1491+1)</f>
        <v>2056</v>
      </c>
      <c r="D1492" s="506">
        <f t="shared" si="90"/>
        <v>0</v>
      </c>
      <c r="E1492" s="549">
        <f t="shared" si="95"/>
        <v>0</v>
      </c>
      <c r="F1492" s="506">
        <f t="shared" si="91"/>
        <v>0</v>
      </c>
      <c r="G1492" s="554">
        <f t="shared" si="92"/>
        <v>0</v>
      </c>
      <c r="H1492" s="555">
        <f t="shared" si="93"/>
        <v>0</v>
      </c>
      <c r="I1492" s="552">
        <f t="shared" si="94"/>
        <v>0</v>
      </c>
      <c r="J1492" s="552"/>
      <c r="K1492" s="572"/>
      <c r="L1492" s="556"/>
      <c r="M1492" s="572"/>
      <c r="N1492" s="556"/>
      <c r="O1492" s="556"/>
    </row>
    <row r="1493" spans="3:15">
      <c r="C1493" s="548">
        <f>IF(D1445="","-",+C1492+1)</f>
        <v>2057</v>
      </c>
      <c r="D1493" s="506">
        <f t="shared" si="90"/>
        <v>0</v>
      </c>
      <c r="E1493" s="549">
        <f t="shared" si="95"/>
        <v>0</v>
      </c>
      <c r="F1493" s="506">
        <f t="shared" si="91"/>
        <v>0</v>
      </c>
      <c r="G1493" s="554">
        <f t="shared" si="92"/>
        <v>0</v>
      </c>
      <c r="H1493" s="555">
        <f t="shared" si="93"/>
        <v>0</v>
      </c>
      <c r="I1493" s="552">
        <f t="shared" si="94"/>
        <v>0</v>
      </c>
      <c r="J1493" s="552"/>
      <c r="K1493" s="572"/>
      <c r="L1493" s="556"/>
      <c r="M1493" s="572"/>
      <c r="N1493" s="556"/>
      <c r="O1493" s="556"/>
    </row>
    <row r="1494" spans="3:15">
      <c r="C1494" s="548">
        <f>IF(D1445="","-",+C1493+1)</f>
        <v>2058</v>
      </c>
      <c r="D1494" s="506">
        <f t="shared" si="90"/>
        <v>0</v>
      </c>
      <c r="E1494" s="549">
        <f t="shared" si="95"/>
        <v>0</v>
      </c>
      <c r="F1494" s="506">
        <f t="shared" si="91"/>
        <v>0</v>
      </c>
      <c r="G1494" s="554">
        <f t="shared" si="92"/>
        <v>0</v>
      </c>
      <c r="H1494" s="555">
        <f t="shared" si="93"/>
        <v>0</v>
      </c>
      <c r="I1494" s="552">
        <f t="shared" si="94"/>
        <v>0</v>
      </c>
      <c r="J1494" s="552"/>
      <c r="K1494" s="572"/>
      <c r="L1494" s="556"/>
      <c r="M1494" s="572"/>
      <c r="N1494" s="556"/>
      <c r="O1494" s="556"/>
    </row>
    <row r="1495" spans="3:15">
      <c r="C1495" s="548">
        <f>IF(D1445="","-",+C1494+1)</f>
        <v>2059</v>
      </c>
      <c r="D1495" s="506">
        <f t="shared" si="90"/>
        <v>0</v>
      </c>
      <c r="E1495" s="549">
        <f t="shared" si="95"/>
        <v>0</v>
      </c>
      <c r="F1495" s="506">
        <f t="shared" si="91"/>
        <v>0</v>
      </c>
      <c r="G1495" s="554">
        <f t="shared" si="92"/>
        <v>0</v>
      </c>
      <c r="H1495" s="555">
        <f t="shared" si="93"/>
        <v>0</v>
      </c>
      <c r="I1495" s="552">
        <f t="shared" si="94"/>
        <v>0</v>
      </c>
      <c r="J1495" s="552"/>
      <c r="K1495" s="572"/>
      <c r="L1495" s="556"/>
      <c r="M1495" s="572"/>
      <c r="N1495" s="556"/>
      <c r="O1495" s="556"/>
    </row>
    <row r="1496" spans="3:15">
      <c r="C1496" s="548">
        <f>IF(D1445="","-",+C1495+1)</f>
        <v>2060</v>
      </c>
      <c r="D1496" s="506">
        <f t="shared" si="90"/>
        <v>0</v>
      </c>
      <c r="E1496" s="549">
        <f t="shared" si="95"/>
        <v>0</v>
      </c>
      <c r="F1496" s="506">
        <f t="shared" si="91"/>
        <v>0</v>
      </c>
      <c r="G1496" s="554">
        <f t="shared" si="92"/>
        <v>0</v>
      </c>
      <c r="H1496" s="555">
        <f t="shared" si="93"/>
        <v>0</v>
      </c>
      <c r="I1496" s="552">
        <f t="shared" si="94"/>
        <v>0</v>
      </c>
      <c r="J1496" s="552"/>
      <c r="K1496" s="572"/>
      <c r="L1496" s="556"/>
      <c r="M1496" s="572"/>
      <c r="N1496" s="556"/>
      <c r="O1496" s="556"/>
    </row>
    <row r="1497" spans="3:15">
      <c r="C1497" s="548">
        <f>IF(D1445="","-",+C1496+1)</f>
        <v>2061</v>
      </c>
      <c r="D1497" s="506">
        <f t="shared" si="90"/>
        <v>0</v>
      </c>
      <c r="E1497" s="549">
        <f t="shared" si="95"/>
        <v>0</v>
      </c>
      <c r="F1497" s="506">
        <f t="shared" si="91"/>
        <v>0</v>
      </c>
      <c r="G1497" s="554">
        <f t="shared" si="92"/>
        <v>0</v>
      </c>
      <c r="H1497" s="555">
        <f t="shared" si="93"/>
        <v>0</v>
      </c>
      <c r="I1497" s="552">
        <f t="shared" si="94"/>
        <v>0</v>
      </c>
      <c r="J1497" s="552"/>
      <c r="K1497" s="572"/>
      <c r="L1497" s="556"/>
      <c r="M1497" s="572"/>
      <c r="N1497" s="556"/>
      <c r="O1497" s="556"/>
    </row>
    <row r="1498" spans="3:15">
      <c r="C1498" s="548">
        <f>IF(D1445="","-",+C1497+1)</f>
        <v>2062</v>
      </c>
      <c r="D1498" s="506">
        <f t="shared" si="90"/>
        <v>0</v>
      </c>
      <c r="E1498" s="549">
        <f t="shared" si="95"/>
        <v>0</v>
      </c>
      <c r="F1498" s="506">
        <f t="shared" si="91"/>
        <v>0</v>
      </c>
      <c r="G1498" s="554">
        <f t="shared" si="92"/>
        <v>0</v>
      </c>
      <c r="H1498" s="555">
        <f t="shared" si="93"/>
        <v>0</v>
      </c>
      <c r="I1498" s="552">
        <f t="shared" si="94"/>
        <v>0</v>
      </c>
      <c r="J1498" s="552"/>
      <c r="K1498" s="572"/>
      <c r="L1498" s="556"/>
      <c r="M1498" s="572"/>
      <c r="N1498" s="556"/>
      <c r="O1498" s="556"/>
    </row>
    <row r="1499" spans="3:15">
      <c r="C1499" s="548">
        <f>IF(D1445="","-",+C1498+1)</f>
        <v>2063</v>
      </c>
      <c r="D1499" s="506">
        <f t="shared" si="90"/>
        <v>0</v>
      </c>
      <c r="E1499" s="549">
        <f t="shared" si="95"/>
        <v>0</v>
      </c>
      <c r="F1499" s="506">
        <f t="shared" si="91"/>
        <v>0</v>
      </c>
      <c r="G1499" s="554">
        <f t="shared" si="92"/>
        <v>0</v>
      </c>
      <c r="H1499" s="555">
        <f t="shared" si="93"/>
        <v>0</v>
      </c>
      <c r="I1499" s="552">
        <f t="shared" si="94"/>
        <v>0</v>
      </c>
      <c r="J1499" s="552"/>
      <c r="K1499" s="572"/>
      <c r="L1499" s="556"/>
      <c r="M1499" s="572"/>
      <c r="N1499" s="556"/>
      <c r="O1499" s="556"/>
    </row>
    <row r="1500" spans="3:15">
      <c r="C1500" s="548">
        <f>IF(D1445="","-",+C1499+1)</f>
        <v>2064</v>
      </c>
      <c r="D1500" s="506">
        <f t="shared" si="90"/>
        <v>0</v>
      </c>
      <c r="E1500" s="549">
        <f t="shared" si="95"/>
        <v>0</v>
      </c>
      <c r="F1500" s="506">
        <f t="shared" si="91"/>
        <v>0</v>
      </c>
      <c r="G1500" s="554">
        <f t="shared" si="92"/>
        <v>0</v>
      </c>
      <c r="H1500" s="555">
        <f t="shared" si="93"/>
        <v>0</v>
      </c>
      <c r="I1500" s="552">
        <f t="shared" si="94"/>
        <v>0</v>
      </c>
      <c r="J1500" s="552"/>
      <c r="K1500" s="572"/>
      <c r="L1500" s="556"/>
      <c r="M1500" s="572"/>
      <c r="N1500" s="556"/>
      <c r="O1500" s="556"/>
    </row>
    <row r="1501" spans="3:15">
      <c r="C1501" s="548">
        <f>IF(D1445="","-",+C1500+1)</f>
        <v>2065</v>
      </c>
      <c r="D1501" s="506">
        <f t="shared" si="90"/>
        <v>0</v>
      </c>
      <c r="E1501" s="549">
        <f t="shared" si="95"/>
        <v>0</v>
      </c>
      <c r="F1501" s="506">
        <f t="shared" si="91"/>
        <v>0</v>
      </c>
      <c r="G1501" s="554">
        <f t="shared" si="92"/>
        <v>0</v>
      </c>
      <c r="H1501" s="555">
        <f t="shared" si="93"/>
        <v>0</v>
      </c>
      <c r="I1501" s="552">
        <f t="shared" si="94"/>
        <v>0</v>
      </c>
      <c r="J1501" s="552"/>
      <c r="K1501" s="572"/>
      <c r="L1501" s="556"/>
      <c r="M1501" s="572"/>
      <c r="N1501" s="556"/>
      <c r="O1501" s="556"/>
    </row>
    <row r="1502" spans="3:15">
      <c r="C1502" s="548">
        <f>IF(D1445="","-",+C1501+1)</f>
        <v>2066</v>
      </c>
      <c r="D1502" s="506">
        <f t="shared" si="90"/>
        <v>0</v>
      </c>
      <c r="E1502" s="549">
        <f t="shared" si="95"/>
        <v>0</v>
      </c>
      <c r="F1502" s="506">
        <f t="shared" si="91"/>
        <v>0</v>
      </c>
      <c r="G1502" s="554">
        <f t="shared" si="92"/>
        <v>0</v>
      </c>
      <c r="H1502" s="555">
        <f t="shared" si="93"/>
        <v>0</v>
      </c>
      <c r="I1502" s="552">
        <f t="shared" si="94"/>
        <v>0</v>
      </c>
      <c r="J1502" s="552"/>
      <c r="K1502" s="572"/>
      <c r="L1502" s="556"/>
      <c r="M1502" s="572"/>
      <c r="N1502" s="556"/>
      <c r="O1502" s="556"/>
    </row>
    <row r="1503" spans="3:15">
      <c r="C1503" s="548">
        <f>IF(D1445="","-",+C1502+1)</f>
        <v>2067</v>
      </c>
      <c r="D1503" s="506">
        <f t="shared" si="90"/>
        <v>0</v>
      </c>
      <c r="E1503" s="549">
        <f t="shared" si="95"/>
        <v>0</v>
      </c>
      <c r="F1503" s="506">
        <f t="shared" si="91"/>
        <v>0</v>
      </c>
      <c r="G1503" s="554">
        <f t="shared" si="92"/>
        <v>0</v>
      </c>
      <c r="H1503" s="555">
        <f t="shared" si="93"/>
        <v>0</v>
      </c>
      <c r="I1503" s="552">
        <f t="shared" si="94"/>
        <v>0</v>
      </c>
      <c r="J1503" s="552"/>
      <c r="K1503" s="572"/>
      <c r="L1503" s="556"/>
      <c r="M1503" s="572"/>
      <c r="N1503" s="556"/>
      <c r="O1503" s="556"/>
    </row>
    <row r="1504" spans="3:15">
      <c r="C1504" s="548">
        <f>IF(D1445="","-",+C1503+1)</f>
        <v>2068</v>
      </c>
      <c r="D1504" s="506">
        <f t="shared" si="90"/>
        <v>0</v>
      </c>
      <c r="E1504" s="549">
        <f t="shared" si="95"/>
        <v>0</v>
      </c>
      <c r="F1504" s="506">
        <f t="shared" si="91"/>
        <v>0</v>
      </c>
      <c r="G1504" s="554">
        <f t="shared" si="92"/>
        <v>0</v>
      </c>
      <c r="H1504" s="555">
        <f t="shared" si="93"/>
        <v>0</v>
      </c>
      <c r="I1504" s="552">
        <f t="shared" si="94"/>
        <v>0</v>
      </c>
      <c r="J1504" s="552"/>
      <c r="K1504" s="572"/>
      <c r="L1504" s="556"/>
      <c r="M1504" s="572"/>
      <c r="N1504" s="556"/>
      <c r="O1504" s="556"/>
    </row>
    <row r="1505" spans="3:15">
      <c r="C1505" s="548">
        <f>IF(D1445="","-",+C1504+1)</f>
        <v>2069</v>
      </c>
      <c r="D1505" s="506">
        <f t="shared" si="90"/>
        <v>0</v>
      </c>
      <c r="E1505" s="549">
        <f t="shared" si="95"/>
        <v>0</v>
      </c>
      <c r="F1505" s="506">
        <f t="shared" si="91"/>
        <v>0</v>
      </c>
      <c r="G1505" s="554">
        <f t="shared" si="92"/>
        <v>0</v>
      </c>
      <c r="H1505" s="555">
        <f t="shared" si="93"/>
        <v>0</v>
      </c>
      <c r="I1505" s="552">
        <f t="shared" si="94"/>
        <v>0</v>
      </c>
      <c r="J1505" s="552"/>
      <c r="K1505" s="572"/>
      <c r="L1505" s="556"/>
      <c r="M1505" s="572"/>
      <c r="N1505" s="556"/>
      <c r="O1505" s="556"/>
    </row>
    <row r="1506" spans="3:15">
      <c r="C1506" s="548">
        <f>IF(D1445="","-",+C1505+1)</f>
        <v>2070</v>
      </c>
      <c r="D1506" s="506">
        <f t="shared" si="90"/>
        <v>0</v>
      </c>
      <c r="E1506" s="549">
        <f t="shared" si="95"/>
        <v>0</v>
      </c>
      <c r="F1506" s="506">
        <f t="shared" si="91"/>
        <v>0</v>
      </c>
      <c r="G1506" s="554">
        <f t="shared" si="92"/>
        <v>0</v>
      </c>
      <c r="H1506" s="555">
        <f t="shared" si="93"/>
        <v>0</v>
      </c>
      <c r="I1506" s="552">
        <f t="shared" si="94"/>
        <v>0</v>
      </c>
      <c r="J1506" s="552"/>
      <c r="K1506" s="572"/>
      <c r="L1506" s="556"/>
      <c r="M1506" s="572"/>
      <c r="N1506" s="556"/>
      <c r="O1506" s="556"/>
    </row>
    <row r="1507" spans="3:15">
      <c r="C1507" s="548">
        <f>IF(D1445="","-",+C1506+1)</f>
        <v>2071</v>
      </c>
      <c r="D1507" s="506">
        <f t="shared" si="90"/>
        <v>0</v>
      </c>
      <c r="E1507" s="549">
        <f t="shared" si="95"/>
        <v>0</v>
      </c>
      <c r="F1507" s="506">
        <f t="shared" si="91"/>
        <v>0</v>
      </c>
      <c r="G1507" s="554">
        <f t="shared" si="92"/>
        <v>0</v>
      </c>
      <c r="H1507" s="555">
        <f t="shared" si="93"/>
        <v>0</v>
      </c>
      <c r="I1507" s="552">
        <f t="shared" si="94"/>
        <v>0</v>
      </c>
      <c r="J1507" s="552"/>
      <c r="K1507" s="572"/>
      <c r="L1507" s="556"/>
      <c r="M1507" s="572"/>
      <c r="N1507" s="556"/>
      <c r="O1507" s="556"/>
    </row>
    <row r="1508" spans="3:15">
      <c r="C1508" s="548">
        <f>IF(D1445="","-",+C1507+1)</f>
        <v>2072</v>
      </c>
      <c r="D1508" s="506">
        <f t="shared" si="90"/>
        <v>0</v>
      </c>
      <c r="E1508" s="549">
        <f t="shared" si="95"/>
        <v>0</v>
      </c>
      <c r="F1508" s="506">
        <f t="shared" si="91"/>
        <v>0</v>
      </c>
      <c r="G1508" s="554">
        <f t="shared" si="92"/>
        <v>0</v>
      </c>
      <c r="H1508" s="555">
        <f t="shared" si="93"/>
        <v>0</v>
      </c>
      <c r="I1508" s="552">
        <f t="shared" si="94"/>
        <v>0</v>
      </c>
      <c r="J1508" s="552"/>
      <c r="K1508" s="572"/>
      <c r="L1508" s="556"/>
      <c r="M1508" s="572"/>
      <c r="N1508" s="556"/>
      <c r="O1508" s="556"/>
    </row>
    <row r="1509" spans="3:15">
      <c r="C1509" s="548">
        <f>IF(D1445="","-",+C1508+1)</f>
        <v>2073</v>
      </c>
      <c r="D1509" s="506">
        <f t="shared" si="90"/>
        <v>0</v>
      </c>
      <c r="E1509" s="549">
        <f t="shared" si="95"/>
        <v>0</v>
      </c>
      <c r="F1509" s="506">
        <f t="shared" si="91"/>
        <v>0</v>
      </c>
      <c r="G1509" s="554">
        <f t="shared" si="92"/>
        <v>0</v>
      </c>
      <c r="H1509" s="555">
        <f t="shared" si="93"/>
        <v>0</v>
      </c>
      <c r="I1509" s="552">
        <f t="shared" si="94"/>
        <v>0</v>
      </c>
      <c r="J1509" s="552"/>
      <c r="K1509" s="572"/>
      <c r="L1509" s="556"/>
      <c r="M1509" s="572"/>
      <c r="N1509" s="556"/>
      <c r="O1509" s="556"/>
    </row>
    <row r="1510" spans="3:15" ht="13.5" thickBot="1">
      <c r="C1510" s="558">
        <f>IF(D1445="","-",+C1509+1)</f>
        <v>2074</v>
      </c>
      <c r="D1510" s="559">
        <f t="shared" si="90"/>
        <v>0</v>
      </c>
      <c r="E1510" s="560">
        <f t="shared" si="95"/>
        <v>0</v>
      </c>
      <c r="F1510" s="559">
        <f t="shared" si="91"/>
        <v>0</v>
      </c>
      <c r="G1510" s="561">
        <f t="shared" si="92"/>
        <v>0</v>
      </c>
      <c r="H1510" s="561">
        <f t="shared" si="93"/>
        <v>0</v>
      </c>
      <c r="I1510" s="562">
        <f t="shared" si="94"/>
        <v>0</v>
      </c>
      <c r="J1510" s="552"/>
      <c r="K1510" s="573"/>
      <c r="L1510" s="563"/>
      <c r="M1510" s="573"/>
      <c r="N1510" s="563"/>
      <c r="O1510" s="563"/>
    </row>
    <row r="1511" spans="3:15">
      <c r="C1511" s="506" t="s">
        <v>83</v>
      </c>
      <c r="D1511" s="503"/>
      <c r="E1511" s="503">
        <f>SUM(E1451:E1510)</f>
        <v>18412074.410000004</v>
      </c>
      <c r="F1511" s="503"/>
      <c r="G1511" s="503">
        <f>SUM(G1451:G1510)</f>
        <v>66689927.588321753</v>
      </c>
      <c r="H1511" s="503">
        <f>SUM(H1451:H1510)</f>
        <v>66689927.588321753</v>
      </c>
      <c r="I1511" s="503">
        <f>SUM(I1451:I1510)</f>
        <v>0</v>
      </c>
      <c r="J1511" s="503"/>
      <c r="K1511" s="503"/>
      <c r="L1511" s="503"/>
      <c r="M1511" s="503"/>
      <c r="N1511" s="503"/>
      <c r="O1511" s="3"/>
    </row>
    <row r="1512" spans="3:15">
      <c r="D1512" s="47"/>
      <c r="E1512" s="3"/>
      <c r="F1512" s="3"/>
      <c r="G1512" s="3"/>
      <c r="H1512" s="490"/>
      <c r="I1512" s="490"/>
      <c r="J1512" s="503"/>
      <c r="K1512" s="490"/>
      <c r="L1512" s="490"/>
      <c r="M1512" s="490"/>
      <c r="N1512" s="490"/>
      <c r="O1512" s="3"/>
    </row>
    <row r="1513" spans="3:15">
      <c r="C1513" s="3" t="s">
        <v>13</v>
      </c>
      <c r="D1513" s="47"/>
      <c r="E1513" s="3"/>
      <c r="F1513" s="3"/>
      <c r="G1513" s="3"/>
      <c r="H1513" s="490"/>
      <c r="I1513" s="490"/>
      <c r="J1513" s="503"/>
      <c r="K1513" s="490"/>
      <c r="L1513" s="490"/>
      <c r="M1513" s="490"/>
      <c r="N1513" s="490"/>
      <c r="O1513" s="3"/>
    </row>
    <row r="1514" spans="3:15">
      <c r="C1514" s="3"/>
      <c r="D1514" s="47"/>
      <c r="E1514" s="3"/>
      <c r="F1514" s="3"/>
      <c r="G1514" s="3"/>
      <c r="H1514" s="490"/>
      <c r="I1514" s="490"/>
      <c r="J1514" s="503"/>
      <c r="K1514" s="490"/>
      <c r="L1514" s="490"/>
      <c r="M1514" s="490"/>
      <c r="N1514" s="490"/>
      <c r="O1514" s="3"/>
    </row>
    <row r="1515" spans="3:15">
      <c r="C1515" s="518" t="s">
        <v>14</v>
      </c>
      <c r="D1515" s="506"/>
      <c r="E1515" s="506"/>
      <c r="F1515" s="506"/>
      <c r="G1515" s="503"/>
      <c r="H1515" s="503"/>
      <c r="I1515" s="564"/>
      <c r="J1515" s="564"/>
      <c r="K1515" s="564"/>
      <c r="L1515" s="564"/>
      <c r="M1515" s="564"/>
      <c r="N1515" s="564"/>
      <c r="O1515" s="3"/>
    </row>
    <row r="1516" spans="3:15">
      <c r="C1516" s="507" t="s">
        <v>263</v>
      </c>
      <c r="D1516" s="506"/>
      <c r="E1516" s="506"/>
      <c r="F1516" s="506"/>
      <c r="G1516" s="503"/>
      <c r="H1516" s="503"/>
      <c r="I1516" s="564"/>
      <c r="J1516" s="564"/>
      <c r="K1516" s="564"/>
      <c r="L1516" s="564"/>
      <c r="M1516" s="564"/>
      <c r="N1516" s="564"/>
      <c r="O1516" s="3"/>
    </row>
    <row r="1517" spans="3:15">
      <c r="C1517" s="507" t="s">
        <v>84</v>
      </c>
      <c r="D1517" s="506"/>
      <c r="E1517" s="506"/>
      <c r="F1517" s="506"/>
      <c r="G1517" s="503"/>
      <c r="H1517" s="503"/>
      <c r="I1517" s="564"/>
      <c r="J1517" s="564"/>
      <c r="K1517" s="564"/>
      <c r="L1517" s="564"/>
      <c r="M1517" s="564"/>
      <c r="N1517" s="564"/>
      <c r="O1517" s="3"/>
    </row>
    <row r="1518" spans="3:15">
      <c r="C1518" s="507"/>
      <c r="D1518" s="506"/>
      <c r="E1518" s="506"/>
      <c r="F1518" s="506"/>
      <c r="G1518" s="503"/>
      <c r="H1518" s="503"/>
      <c r="I1518" s="564"/>
      <c r="J1518" s="564"/>
      <c r="K1518" s="564"/>
      <c r="L1518" s="564"/>
      <c r="M1518" s="564"/>
      <c r="N1518" s="564"/>
      <c r="O1518" s="3"/>
    </row>
    <row r="1519" spans="3:15">
      <c r="C1519" s="1200" t="s">
        <v>6</v>
      </c>
      <c r="D1519" s="1200"/>
      <c r="E1519" s="1200"/>
      <c r="F1519" s="1200"/>
      <c r="G1519" s="1200"/>
      <c r="H1519" s="1200"/>
      <c r="I1519" s="1200"/>
      <c r="J1519" s="1200"/>
      <c r="K1519" s="1200"/>
      <c r="L1519" s="1200"/>
      <c r="M1519" s="1200"/>
      <c r="N1519" s="1200"/>
      <c r="O1519" s="1200"/>
    </row>
    <row r="1520" spans="3:15">
      <c r="C1520" s="1200"/>
      <c r="D1520" s="1200"/>
      <c r="E1520" s="1200"/>
      <c r="F1520" s="1200"/>
      <c r="G1520" s="1200"/>
      <c r="H1520" s="1200"/>
      <c r="I1520" s="1200"/>
      <c r="J1520" s="1200"/>
      <c r="K1520" s="1200"/>
      <c r="L1520" s="1200"/>
      <c r="M1520" s="1200"/>
      <c r="N1520" s="1200"/>
      <c r="O1520" s="1200"/>
    </row>
    <row r="1521" spans="1:16">
      <c r="C1521" s="507"/>
      <c r="D1521" s="506"/>
      <c r="E1521" s="506"/>
      <c r="F1521" s="506"/>
      <c r="G1521" s="503"/>
      <c r="H1521" s="503"/>
    </row>
    <row r="1522" spans="1:16" ht="20.25">
      <c r="A1522" s="447" t="str">
        <f>""&amp;A1446&amp;" Worksheet J -  ATRR PROJECTED Calculation for PJM Projects Charged to Benefiting Zones"</f>
        <v xml:space="preserve"> Worksheet J -  ATRR PROJECTED Calculation for PJM Projects Charged to Benefiting Zones</v>
      </c>
      <c r="B1522" s="3"/>
      <c r="C1522" s="3"/>
      <c r="D1522" s="47"/>
      <c r="E1522" s="3"/>
      <c r="F1522" s="489"/>
      <c r="G1522" s="3"/>
      <c r="H1522" s="490"/>
      <c r="K1522" s="398"/>
      <c r="L1522" s="398"/>
      <c r="M1522" s="398"/>
      <c r="N1522" s="398" t="str">
        <f>"Page "&amp;SUM(P$8:P1522)&amp;" of "</f>
        <v xml:space="preserve">Page 18 of </v>
      </c>
      <c r="O1522" s="448">
        <f>COUNT(P$8:P$56653)</f>
        <v>23</v>
      </c>
      <c r="P1522">
        <v>1</v>
      </c>
    </row>
    <row r="1523" spans="1:16">
      <c r="B1523" s="3"/>
      <c r="C1523" s="3"/>
      <c r="D1523" s="47"/>
      <c r="E1523" s="3"/>
      <c r="F1523" s="3"/>
      <c r="G1523" s="3"/>
      <c r="H1523" s="490"/>
      <c r="I1523" s="3"/>
      <c r="J1523" s="3"/>
      <c r="K1523" s="3"/>
      <c r="L1523" s="3"/>
      <c r="M1523" s="3"/>
      <c r="N1523" s="3"/>
      <c r="O1523" s="3"/>
    </row>
    <row r="1524" spans="1:16" ht="18">
      <c r="B1524" s="449" t="s">
        <v>464</v>
      </c>
      <c r="C1524" s="122" t="s">
        <v>85</v>
      </c>
      <c r="D1524" s="47"/>
      <c r="E1524" s="3"/>
      <c r="F1524" s="3"/>
      <c r="G1524" s="3"/>
      <c r="H1524" s="490"/>
      <c r="I1524" s="490"/>
      <c r="J1524" s="503"/>
      <c r="K1524" s="490"/>
      <c r="L1524" s="490"/>
      <c r="M1524" s="490"/>
      <c r="N1524" s="490"/>
      <c r="O1524" s="3"/>
    </row>
    <row r="1525" spans="1:16" ht="18.75">
      <c r="B1525" s="449"/>
      <c r="C1525" s="6"/>
      <c r="D1525" s="47"/>
      <c r="E1525" s="3"/>
      <c r="F1525" s="3"/>
      <c r="G1525" s="3"/>
      <c r="H1525" s="490"/>
      <c r="I1525" s="490"/>
      <c r="J1525" s="503"/>
      <c r="K1525" s="490"/>
      <c r="L1525" s="490"/>
      <c r="M1525" s="490"/>
      <c r="N1525" s="490"/>
      <c r="O1525" s="3"/>
    </row>
    <row r="1526" spans="1:16" ht="18.75">
      <c r="B1526" s="449"/>
      <c r="C1526" s="6" t="s">
        <v>86</v>
      </c>
      <c r="D1526" s="47"/>
      <c r="E1526" s="3"/>
      <c r="F1526" s="3"/>
      <c r="G1526" s="3"/>
      <c r="H1526" s="490"/>
      <c r="I1526" s="490"/>
      <c r="J1526" s="503"/>
      <c r="K1526" s="490"/>
      <c r="L1526" s="490"/>
      <c r="M1526" s="490"/>
      <c r="N1526" s="490"/>
      <c r="O1526" s="3"/>
    </row>
    <row r="1527" spans="1:16" ht="15.75" thickBot="1">
      <c r="C1527" s="131"/>
      <c r="D1527" s="47"/>
      <c r="E1527" s="3"/>
      <c r="F1527" s="3"/>
      <c r="G1527" s="3"/>
      <c r="H1527" s="490"/>
      <c r="I1527" s="490"/>
      <c r="J1527" s="503"/>
      <c r="K1527" s="490"/>
      <c r="L1527" s="490"/>
      <c r="M1527" s="490"/>
      <c r="N1527" s="490"/>
      <c r="O1527" s="3"/>
    </row>
    <row r="1528" spans="1:16" ht="15.75">
      <c r="C1528" s="451" t="s">
        <v>87</v>
      </c>
      <c r="D1528" s="47"/>
      <c r="E1528" s="3"/>
      <c r="F1528" s="3"/>
      <c r="G1528" s="566"/>
      <c r="H1528" s="3" t="s">
        <v>66</v>
      </c>
      <c r="I1528" s="3"/>
      <c r="J1528" s="3"/>
      <c r="K1528" s="509" t="s">
        <v>91</v>
      </c>
      <c r="L1528" s="510"/>
      <c r="M1528" s="511"/>
      <c r="N1528" s="512">
        <v>0</v>
      </c>
      <c r="O1528" s="3"/>
    </row>
    <row r="1529" spans="1:16" ht="15.75">
      <c r="C1529" s="451"/>
      <c r="D1529" s="47"/>
      <c r="E1529" s="3"/>
      <c r="F1529" s="3"/>
      <c r="G1529" s="3"/>
      <c r="H1529" s="513"/>
      <c r="I1529" s="513"/>
      <c r="J1529" s="514"/>
      <c r="K1529" s="515" t="s">
        <v>92</v>
      </c>
      <c r="L1529" s="516"/>
      <c r="M1529" s="3"/>
      <c r="N1529" s="517">
        <v>0</v>
      </c>
      <c r="O1529" s="3"/>
    </row>
    <row r="1530" spans="1:16" ht="13.5" customHeight="1" thickBot="1">
      <c r="C1530" s="518" t="s">
        <v>88</v>
      </c>
      <c r="D1530" s="1194" t="s">
        <v>820</v>
      </c>
      <c r="E1530" s="1194"/>
      <c r="F1530" s="1194"/>
      <c r="G1530" s="1194"/>
      <c r="H1530" s="1194"/>
      <c r="I1530" s="1194"/>
      <c r="J1530" s="503"/>
      <c r="K1530" s="519" t="s">
        <v>230</v>
      </c>
      <c r="L1530" s="520"/>
      <c r="M1530" s="520"/>
      <c r="N1530" s="521">
        <f>+N1529-N1528</f>
        <v>0</v>
      </c>
      <c r="O1530" s="3"/>
    </row>
    <row r="1531" spans="1:16">
      <c r="C1531" s="522"/>
      <c r="D1531" s="1194"/>
      <c r="E1531" s="1194"/>
      <c r="F1531" s="1194"/>
      <c r="G1531" s="1194"/>
      <c r="H1531" s="1194"/>
      <c r="I1531" s="1194"/>
      <c r="J1531" s="503"/>
      <c r="K1531" s="490"/>
      <c r="L1531" s="490"/>
      <c r="M1531" s="490"/>
      <c r="N1531" s="490"/>
      <c r="O1531" s="3"/>
    </row>
    <row r="1532" spans="1:16" ht="13.5" thickBot="1">
      <c r="C1532" s="522"/>
      <c r="D1532" s="3"/>
      <c r="E1532" s="524"/>
      <c r="F1532" s="524"/>
      <c r="G1532" s="524"/>
      <c r="H1532" s="524"/>
      <c r="I1532" s="524"/>
      <c r="J1532" s="524"/>
      <c r="K1532" s="524"/>
      <c r="L1532" s="524"/>
      <c r="M1532" s="524"/>
      <c r="N1532" s="524"/>
      <c r="O1532" s="3"/>
    </row>
    <row r="1533" spans="1:16" ht="13.5" thickBot="1">
      <c r="C1533" s="525" t="s">
        <v>89</v>
      </c>
      <c r="D1533" s="526"/>
      <c r="E1533" s="526"/>
      <c r="F1533" s="526"/>
      <c r="G1533" s="526"/>
      <c r="H1533" s="526"/>
      <c r="I1533" s="527"/>
      <c r="K1533" s="3"/>
      <c r="L1533" s="3"/>
      <c r="M1533" s="3"/>
      <c r="N1533" s="3"/>
      <c r="O1533" s="3"/>
    </row>
    <row r="1534" spans="1:16" ht="15">
      <c r="C1534" s="528" t="s">
        <v>67</v>
      </c>
      <c r="D1534" s="568"/>
      <c r="E1534" s="3" t="s">
        <v>68</v>
      </c>
      <c r="G1534" s="47"/>
      <c r="H1534" s="47"/>
      <c r="I1534" s="529">
        <f>$L$26</f>
        <v>2026</v>
      </c>
      <c r="J1534" s="70"/>
      <c r="K1534" s="1193" t="s">
        <v>239</v>
      </c>
      <c r="L1534" s="1193"/>
      <c r="M1534" s="1193"/>
      <c r="N1534" s="1193"/>
      <c r="O1534" s="1193"/>
    </row>
    <row r="1535" spans="1:16">
      <c r="C1535" s="528" t="s">
        <v>70</v>
      </c>
      <c r="D1535" s="569"/>
      <c r="E1535" s="528" t="s">
        <v>71</v>
      </c>
      <c r="F1535" s="47"/>
      <c r="H1535"/>
      <c r="I1535" s="570">
        <f>IF(G1528="",0,$F$17)</f>
        <v>0</v>
      </c>
      <c r="J1535" s="530"/>
      <c r="K1535" s="503" t="s">
        <v>239</v>
      </c>
    </row>
    <row r="1536" spans="1:16">
      <c r="C1536" s="528" t="s">
        <v>72</v>
      </c>
      <c r="D1536" s="568"/>
      <c r="E1536" s="528" t="s">
        <v>73</v>
      </c>
      <c r="F1536" s="47"/>
      <c r="H1536"/>
      <c r="I1536" s="531">
        <f>$G$70</f>
        <v>0.14912278949438812</v>
      </c>
      <c r="J1536" s="489"/>
      <c r="K1536" t="str">
        <f>"          INPUT PROJECTED ARR (WITH &amp; WITHOUT INCENTIVES) FROM EACH PRIOR YEAR"</f>
        <v xml:space="preserve">          INPUT PROJECTED ARR (WITH &amp; WITHOUT INCENTIVES) FROM EACH PRIOR YEAR</v>
      </c>
    </row>
    <row r="1537" spans="2:15">
      <c r="C1537" s="528" t="s">
        <v>74</v>
      </c>
      <c r="D1537" s="532">
        <f>$G$79</f>
        <v>34</v>
      </c>
      <c r="E1537" s="528" t="s">
        <v>75</v>
      </c>
      <c r="F1537" s="47"/>
      <c r="H1537"/>
      <c r="I1537" s="531">
        <f>IF(G1528="",I1536,$G$69)</f>
        <v>0.14912278949438812</v>
      </c>
      <c r="J1537" s="489"/>
      <c r="K1537" t="s">
        <v>152</v>
      </c>
    </row>
    <row r="1538" spans="2:15" ht="13.5" thickBot="1">
      <c r="C1538" s="528" t="s">
        <v>76</v>
      </c>
      <c r="D1538" s="567"/>
      <c r="E1538" s="533" t="s">
        <v>77</v>
      </c>
      <c r="F1538" s="534"/>
      <c r="G1538" s="535"/>
      <c r="H1538" s="535"/>
      <c r="I1538" s="521">
        <f>IF(D1534=0,0,D1534/D1537)</f>
        <v>0</v>
      </c>
      <c r="J1538" s="503"/>
      <c r="K1538" s="503" t="s">
        <v>158</v>
      </c>
      <c r="L1538" s="503"/>
      <c r="M1538" s="503"/>
      <c r="N1538" s="503"/>
      <c r="O1538" s="3"/>
    </row>
    <row r="1539" spans="2:15" ht="38.25">
      <c r="B1539" s="450"/>
      <c r="C1539" s="536" t="s">
        <v>67</v>
      </c>
      <c r="D1539" s="537" t="s">
        <v>78</v>
      </c>
      <c r="E1539" s="538" t="s">
        <v>79</v>
      </c>
      <c r="F1539" s="537" t="s">
        <v>80</v>
      </c>
      <c r="G1539" s="538" t="s">
        <v>151</v>
      </c>
      <c r="H1539" s="539" t="s">
        <v>151</v>
      </c>
      <c r="I1539" s="536" t="s">
        <v>90</v>
      </c>
      <c r="J1539" s="540"/>
      <c r="K1539" s="538" t="s">
        <v>160</v>
      </c>
      <c r="L1539" s="541"/>
      <c r="M1539" s="538" t="s">
        <v>160</v>
      </c>
      <c r="N1539" s="541"/>
      <c r="O1539" s="541"/>
    </row>
    <row r="1540" spans="2:15" ht="13.5" thickBot="1">
      <c r="C1540" s="542" t="s">
        <v>467</v>
      </c>
      <c r="D1540" s="543" t="s">
        <v>468</v>
      </c>
      <c r="E1540" s="542" t="s">
        <v>361</v>
      </c>
      <c r="F1540" s="543" t="s">
        <v>468</v>
      </c>
      <c r="G1540" s="544" t="s">
        <v>93</v>
      </c>
      <c r="H1540" s="545" t="s">
        <v>95</v>
      </c>
      <c r="I1540" s="542" t="s">
        <v>15</v>
      </c>
      <c r="J1540" s="546"/>
      <c r="K1540" s="544" t="s">
        <v>82</v>
      </c>
      <c r="L1540" s="547"/>
      <c r="M1540" s="544" t="s">
        <v>95</v>
      </c>
      <c r="N1540" s="547"/>
      <c r="O1540" s="547"/>
    </row>
    <row r="1541" spans="2:15">
      <c r="C1541" s="548" t="str">
        <f>IF(D1535= "","-",D1535)</f>
        <v>-</v>
      </c>
      <c r="D1541" s="506">
        <f>+D1534</f>
        <v>0</v>
      </c>
      <c r="E1541" s="549">
        <f>+I1538/12*(12-D1536)</f>
        <v>0</v>
      </c>
      <c r="F1541" s="506">
        <f>+D1541-E1541</f>
        <v>0</v>
      </c>
      <c r="G1541" s="723">
        <f>+$I$96*((D1541+F1541)/2)+E1541</f>
        <v>0</v>
      </c>
      <c r="H1541" s="724">
        <f>$I$97*((D1541+F1541)/2)+E1541</f>
        <v>0</v>
      </c>
      <c r="I1541" s="552">
        <f>+H1541-G1541</f>
        <v>0</v>
      </c>
      <c r="J1541" s="552"/>
      <c r="K1541" s="571"/>
      <c r="L1541" s="553"/>
      <c r="M1541" s="571"/>
      <c r="N1541" s="553"/>
      <c r="O1541" s="553"/>
    </row>
    <row r="1542" spans="2:15">
      <c r="C1542" s="548" t="str">
        <f>IF(D1535="","-",+C1541+1)</f>
        <v>-</v>
      </c>
      <c r="D1542" s="506">
        <f t="shared" ref="D1542:D1600" si="96">F1541</f>
        <v>0</v>
      </c>
      <c r="E1542" s="549">
        <f>IF(D1542&gt;$I$1538,$I$1538,D1542)</f>
        <v>0</v>
      </c>
      <c r="F1542" s="506">
        <f t="shared" ref="F1542:F1600" si="97">+D1542-E1542</f>
        <v>0</v>
      </c>
      <c r="G1542" s="554">
        <f t="shared" ref="G1542:G1600" si="98">+$I$96*((D1542+F1542)/2)+E1542</f>
        <v>0</v>
      </c>
      <c r="H1542" s="555">
        <f t="shared" ref="H1542:H1600" si="99">$I$97*((D1542+F1542)/2)+E1542</f>
        <v>0</v>
      </c>
      <c r="I1542" s="552">
        <f t="shared" ref="I1542:I1600" si="100">+H1542-G1542</f>
        <v>0</v>
      </c>
      <c r="J1542" s="552"/>
      <c r="K1542" s="572"/>
      <c r="L1542" s="556"/>
      <c r="M1542" s="572"/>
      <c r="N1542" s="556"/>
      <c r="O1542" s="556"/>
    </row>
    <row r="1543" spans="2:15">
      <c r="C1543" s="548" t="str">
        <f>IF(D1535="","-",+C1542+1)</f>
        <v>-</v>
      </c>
      <c r="D1543" s="506">
        <f t="shared" si="96"/>
        <v>0</v>
      </c>
      <c r="E1543" s="549">
        <f t="shared" ref="E1543:E1600" si="101">IF(D1543&gt;$I$1538,$I$1538,D1543)</f>
        <v>0</v>
      </c>
      <c r="F1543" s="506">
        <f t="shared" si="97"/>
        <v>0</v>
      </c>
      <c r="G1543" s="554">
        <f t="shared" si="98"/>
        <v>0</v>
      </c>
      <c r="H1543" s="555">
        <f t="shared" si="99"/>
        <v>0</v>
      </c>
      <c r="I1543" s="552">
        <f t="shared" si="100"/>
        <v>0</v>
      </c>
      <c r="J1543" s="552"/>
      <c r="K1543" s="572"/>
      <c r="L1543" s="556"/>
      <c r="M1543" s="572"/>
      <c r="N1543" s="556"/>
      <c r="O1543" s="556"/>
    </row>
    <row r="1544" spans="2:15">
      <c r="C1544" s="548" t="str">
        <f>IF(D1535="","-",+C1543+1)</f>
        <v>-</v>
      </c>
      <c r="D1544" s="506">
        <f t="shared" si="96"/>
        <v>0</v>
      </c>
      <c r="E1544" s="549">
        <f t="shared" si="101"/>
        <v>0</v>
      </c>
      <c r="F1544" s="506">
        <f t="shared" si="97"/>
        <v>0</v>
      </c>
      <c r="G1544" s="554">
        <f t="shared" si="98"/>
        <v>0</v>
      </c>
      <c r="H1544" s="555">
        <f t="shared" si="99"/>
        <v>0</v>
      </c>
      <c r="I1544" s="552">
        <f t="shared" si="100"/>
        <v>0</v>
      </c>
      <c r="J1544" s="552"/>
      <c r="K1544" s="572"/>
      <c r="L1544" s="556"/>
      <c r="M1544" s="572"/>
      <c r="N1544" s="556"/>
      <c r="O1544" s="556"/>
    </row>
    <row r="1545" spans="2:15">
      <c r="C1545" s="548" t="str">
        <f>IF(D1535="","-",+C1544+1)</f>
        <v>-</v>
      </c>
      <c r="D1545" s="506">
        <f t="shared" si="96"/>
        <v>0</v>
      </c>
      <c r="E1545" s="549">
        <f t="shared" si="101"/>
        <v>0</v>
      </c>
      <c r="F1545" s="506">
        <f t="shared" si="97"/>
        <v>0</v>
      </c>
      <c r="G1545" s="554">
        <f t="shared" si="98"/>
        <v>0</v>
      </c>
      <c r="H1545" s="555">
        <f t="shared" si="99"/>
        <v>0</v>
      </c>
      <c r="I1545" s="552">
        <f t="shared" si="100"/>
        <v>0</v>
      </c>
      <c r="J1545" s="552"/>
      <c r="K1545" s="572"/>
      <c r="L1545" s="556"/>
      <c r="M1545" s="572"/>
      <c r="N1545" s="556"/>
      <c r="O1545" s="556"/>
    </row>
    <row r="1546" spans="2:15">
      <c r="C1546" s="548" t="str">
        <f>IF(D1535="","-",+C1545+1)</f>
        <v>-</v>
      </c>
      <c r="D1546" s="506">
        <f t="shared" si="96"/>
        <v>0</v>
      </c>
      <c r="E1546" s="549">
        <f t="shared" si="101"/>
        <v>0</v>
      </c>
      <c r="F1546" s="506">
        <f t="shared" si="97"/>
        <v>0</v>
      </c>
      <c r="G1546" s="554">
        <f t="shared" si="98"/>
        <v>0</v>
      </c>
      <c r="H1546" s="555">
        <f t="shared" si="99"/>
        <v>0</v>
      </c>
      <c r="I1546" s="552">
        <f t="shared" si="100"/>
        <v>0</v>
      </c>
      <c r="J1546" s="552"/>
      <c r="K1546" s="572"/>
      <c r="L1546" s="556"/>
      <c r="M1546" s="572"/>
      <c r="N1546" s="556"/>
      <c r="O1546" s="556"/>
    </row>
    <row r="1547" spans="2:15">
      <c r="C1547" s="548" t="str">
        <f>IF(D1535="","-",+C1546+1)</f>
        <v>-</v>
      </c>
      <c r="D1547" s="506">
        <f t="shared" si="96"/>
        <v>0</v>
      </c>
      <c r="E1547" s="549">
        <f t="shared" si="101"/>
        <v>0</v>
      </c>
      <c r="F1547" s="506">
        <f t="shared" si="97"/>
        <v>0</v>
      </c>
      <c r="G1547" s="554">
        <f t="shared" si="98"/>
        <v>0</v>
      </c>
      <c r="H1547" s="555">
        <f t="shared" si="99"/>
        <v>0</v>
      </c>
      <c r="I1547" s="552">
        <f t="shared" si="100"/>
        <v>0</v>
      </c>
      <c r="J1547" s="552"/>
      <c r="K1547" s="572"/>
      <c r="L1547" s="556"/>
      <c r="M1547" s="572"/>
      <c r="N1547" s="556"/>
      <c r="O1547" s="556"/>
    </row>
    <row r="1548" spans="2:15">
      <c r="C1548" s="548" t="str">
        <f>IF(D1535="","-",+C1547+1)</f>
        <v>-</v>
      </c>
      <c r="D1548" s="506">
        <f t="shared" si="96"/>
        <v>0</v>
      </c>
      <c r="E1548" s="549">
        <f t="shared" si="101"/>
        <v>0</v>
      </c>
      <c r="F1548" s="506">
        <f t="shared" si="97"/>
        <v>0</v>
      </c>
      <c r="G1548" s="554">
        <f t="shared" si="98"/>
        <v>0</v>
      </c>
      <c r="H1548" s="555">
        <f t="shared" si="99"/>
        <v>0</v>
      </c>
      <c r="I1548" s="552">
        <f t="shared" si="100"/>
        <v>0</v>
      </c>
      <c r="J1548" s="552"/>
      <c r="K1548" s="572"/>
      <c r="L1548" s="556"/>
      <c r="M1548" s="572"/>
      <c r="N1548" s="556"/>
      <c r="O1548" s="556"/>
    </row>
    <row r="1549" spans="2:15">
      <c r="C1549" s="548" t="str">
        <f>IF(D1535="","-",+C1548+1)</f>
        <v>-</v>
      </c>
      <c r="D1549" s="506">
        <f t="shared" si="96"/>
        <v>0</v>
      </c>
      <c r="E1549" s="549">
        <f t="shared" si="101"/>
        <v>0</v>
      </c>
      <c r="F1549" s="506">
        <f t="shared" si="97"/>
        <v>0</v>
      </c>
      <c r="G1549" s="554">
        <f t="shared" si="98"/>
        <v>0</v>
      </c>
      <c r="H1549" s="555">
        <f t="shared" si="99"/>
        <v>0</v>
      </c>
      <c r="I1549" s="552">
        <f t="shared" si="100"/>
        <v>0</v>
      </c>
      <c r="J1549" s="552"/>
      <c r="K1549" s="572"/>
      <c r="L1549" s="556"/>
      <c r="M1549" s="572"/>
      <c r="N1549" s="556"/>
      <c r="O1549" s="556"/>
    </row>
    <row r="1550" spans="2:15">
      <c r="C1550" s="548" t="str">
        <f>IF(D1535="","-",+C1549+1)</f>
        <v>-</v>
      </c>
      <c r="D1550" s="506">
        <f t="shared" si="96"/>
        <v>0</v>
      </c>
      <c r="E1550" s="549">
        <f t="shared" si="101"/>
        <v>0</v>
      </c>
      <c r="F1550" s="506">
        <f t="shared" si="97"/>
        <v>0</v>
      </c>
      <c r="G1550" s="554">
        <f t="shared" si="98"/>
        <v>0</v>
      </c>
      <c r="H1550" s="555">
        <f t="shared" si="99"/>
        <v>0</v>
      </c>
      <c r="I1550" s="552">
        <f t="shared" si="100"/>
        <v>0</v>
      </c>
      <c r="J1550" s="552"/>
      <c r="K1550" s="572"/>
      <c r="L1550" s="556"/>
      <c r="M1550" s="572"/>
      <c r="N1550" s="556"/>
      <c r="O1550" s="556"/>
    </row>
    <row r="1551" spans="2:15">
      <c r="C1551" s="548" t="str">
        <f>IF(D1535="","-",+C1550+1)</f>
        <v>-</v>
      </c>
      <c r="D1551" s="506">
        <f t="shared" si="96"/>
        <v>0</v>
      </c>
      <c r="E1551" s="549">
        <f t="shared" si="101"/>
        <v>0</v>
      </c>
      <c r="F1551" s="506">
        <f t="shared" si="97"/>
        <v>0</v>
      </c>
      <c r="G1551" s="554">
        <f t="shared" si="98"/>
        <v>0</v>
      </c>
      <c r="H1551" s="555">
        <f t="shared" si="99"/>
        <v>0</v>
      </c>
      <c r="I1551" s="552">
        <f t="shared" si="100"/>
        <v>0</v>
      </c>
      <c r="J1551" s="552"/>
      <c r="K1551" s="572"/>
      <c r="L1551" s="556"/>
      <c r="M1551" s="572"/>
      <c r="N1551" s="556"/>
      <c r="O1551" s="556"/>
    </row>
    <row r="1552" spans="2:15">
      <c r="C1552" s="548" t="str">
        <f>IF(D1535="","-",+C1551+1)</f>
        <v>-</v>
      </c>
      <c r="D1552" s="506">
        <f t="shared" si="96"/>
        <v>0</v>
      </c>
      <c r="E1552" s="549">
        <f t="shared" si="101"/>
        <v>0</v>
      </c>
      <c r="F1552" s="506">
        <f t="shared" si="97"/>
        <v>0</v>
      </c>
      <c r="G1552" s="554">
        <f t="shared" si="98"/>
        <v>0</v>
      </c>
      <c r="H1552" s="555">
        <f t="shared" si="99"/>
        <v>0</v>
      </c>
      <c r="I1552" s="552">
        <f t="shared" si="100"/>
        <v>0</v>
      </c>
      <c r="J1552" s="552"/>
      <c r="K1552" s="572"/>
      <c r="L1552" s="556"/>
      <c r="M1552" s="572"/>
      <c r="N1552" s="556"/>
      <c r="O1552" s="556"/>
    </row>
    <row r="1553" spans="3:15">
      <c r="C1553" s="548" t="str">
        <f>IF(D1535="","-",+C1552+1)</f>
        <v>-</v>
      </c>
      <c r="D1553" s="506">
        <f t="shared" si="96"/>
        <v>0</v>
      </c>
      <c r="E1553" s="549">
        <f t="shared" si="101"/>
        <v>0</v>
      </c>
      <c r="F1553" s="506">
        <f t="shared" si="97"/>
        <v>0</v>
      </c>
      <c r="G1553" s="554">
        <f t="shared" si="98"/>
        <v>0</v>
      </c>
      <c r="H1553" s="555">
        <f t="shared" si="99"/>
        <v>0</v>
      </c>
      <c r="I1553" s="552">
        <f t="shared" si="100"/>
        <v>0</v>
      </c>
      <c r="J1553" s="552"/>
      <c r="K1553" s="572"/>
      <c r="L1553" s="556"/>
      <c r="M1553" s="572"/>
      <c r="N1553" s="557"/>
      <c r="O1553" s="556"/>
    </row>
    <row r="1554" spans="3:15">
      <c r="C1554" s="548" t="str">
        <f>IF(D1535="","-",+C1553+1)</f>
        <v>-</v>
      </c>
      <c r="D1554" s="506">
        <f t="shared" si="96"/>
        <v>0</v>
      </c>
      <c r="E1554" s="549">
        <f t="shared" si="101"/>
        <v>0</v>
      </c>
      <c r="F1554" s="506">
        <f t="shared" si="97"/>
        <v>0</v>
      </c>
      <c r="G1554" s="554">
        <f t="shared" si="98"/>
        <v>0</v>
      </c>
      <c r="H1554" s="555">
        <f t="shared" si="99"/>
        <v>0</v>
      </c>
      <c r="I1554" s="552">
        <f t="shared" si="100"/>
        <v>0</v>
      </c>
      <c r="J1554" s="552"/>
      <c r="K1554" s="572"/>
      <c r="L1554" s="556"/>
      <c r="M1554" s="572"/>
      <c r="N1554" s="556"/>
      <c r="O1554" s="556"/>
    </row>
    <row r="1555" spans="3:15">
      <c r="C1555" s="548" t="str">
        <f>IF(D1535="","-",+C1554+1)</f>
        <v>-</v>
      </c>
      <c r="D1555" s="506">
        <f t="shared" si="96"/>
        <v>0</v>
      </c>
      <c r="E1555" s="549">
        <f t="shared" si="101"/>
        <v>0</v>
      </c>
      <c r="F1555" s="506">
        <f t="shared" si="97"/>
        <v>0</v>
      </c>
      <c r="G1555" s="554">
        <f t="shared" si="98"/>
        <v>0</v>
      </c>
      <c r="H1555" s="555">
        <f t="shared" si="99"/>
        <v>0</v>
      </c>
      <c r="I1555" s="552">
        <f t="shared" si="100"/>
        <v>0</v>
      </c>
      <c r="J1555" s="552"/>
      <c r="K1555" s="572"/>
      <c r="L1555" s="556"/>
      <c r="M1555" s="572"/>
      <c r="N1555" s="556"/>
      <c r="O1555" s="556"/>
    </row>
    <row r="1556" spans="3:15">
      <c r="C1556" s="548" t="str">
        <f>IF(D1535="","-",+C1555+1)</f>
        <v>-</v>
      </c>
      <c r="D1556" s="506">
        <f t="shared" si="96"/>
        <v>0</v>
      </c>
      <c r="E1556" s="549">
        <f t="shared" si="101"/>
        <v>0</v>
      </c>
      <c r="F1556" s="506">
        <f t="shared" si="97"/>
        <v>0</v>
      </c>
      <c r="G1556" s="554">
        <f t="shared" si="98"/>
        <v>0</v>
      </c>
      <c r="H1556" s="555">
        <f t="shared" si="99"/>
        <v>0</v>
      </c>
      <c r="I1556" s="552">
        <f t="shared" si="100"/>
        <v>0</v>
      </c>
      <c r="J1556" s="552"/>
      <c r="K1556" s="572"/>
      <c r="L1556" s="556"/>
      <c r="M1556" s="572"/>
      <c r="N1556" s="556"/>
      <c r="O1556" s="556"/>
    </row>
    <row r="1557" spans="3:15">
      <c r="C1557" s="548" t="str">
        <f>IF(D1535="","-",+C1556+1)</f>
        <v>-</v>
      </c>
      <c r="D1557" s="506">
        <f t="shared" si="96"/>
        <v>0</v>
      </c>
      <c r="E1557" s="549">
        <f t="shared" si="101"/>
        <v>0</v>
      </c>
      <c r="F1557" s="506">
        <f t="shared" si="97"/>
        <v>0</v>
      </c>
      <c r="G1557" s="554">
        <f t="shared" si="98"/>
        <v>0</v>
      </c>
      <c r="H1557" s="555">
        <f t="shared" si="99"/>
        <v>0</v>
      </c>
      <c r="I1557" s="552">
        <f t="shared" si="100"/>
        <v>0</v>
      </c>
      <c r="J1557" s="552"/>
      <c r="K1557" s="572"/>
      <c r="L1557" s="556"/>
      <c r="M1557" s="572"/>
      <c r="N1557" s="556"/>
      <c r="O1557" s="556"/>
    </row>
    <row r="1558" spans="3:15">
      <c r="C1558" s="548" t="str">
        <f>IF(D1535="","-",+C1557+1)</f>
        <v>-</v>
      </c>
      <c r="D1558" s="506">
        <f t="shared" si="96"/>
        <v>0</v>
      </c>
      <c r="E1558" s="549">
        <f t="shared" si="101"/>
        <v>0</v>
      </c>
      <c r="F1558" s="506">
        <f t="shared" si="97"/>
        <v>0</v>
      </c>
      <c r="G1558" s="554">
        <f t="shared" si="98"/>
        <v>0</v>
      </c>
      <c r="H1558" s="555">
        <f t="shared" si="99"/>
        <v>0</v>
      </c>
      <c r="I1558" s="552">
        <f t="shared" si="100"/>
        <v>0</v>
      </c>
      <c r="J1558" s="552"/>
      <c r="K1558" s="572"/>
      <c r="L1558" s="556"/>
      <c r="M1558" s="572"/>
      <c r="N1558" s="556"/>
      <c r="O1558" s="556"/>
    </row>
    <row r="1559" spans="3:15">
      <c r="C1559" s="548" t="str">
        <f>IF(D1535="","-",+C1558+1)</f>
        <v>-</v>
      </c>
      <c r="D1559" s="506">
        <f t="shared" si="96"/>
        <v>0</v>
      </c>
      <c r="E1559" s="549">
        <f t="shared" si="101"/>
        <v>0</v>
      </c>
      <c r="F1559" s="506">
        <f t="shared" si="97"/>
        <v>0</v>
      </c>
      <c r="G1559" s="554">
        <f t="shared" si="98"/>
        <v>0</v>
      </c>
      <c r="H1559" s="555">
        <f t="shared" si="99"/>
        <v>0</v>
      </c>
      <c r="I1559" s="552">
        <f t="shared" si="100"/>
        <v>0</v>
      </c>
      <c r="J1559" s="552"/>
      <c r="K1559" s="572"/>
      <c r="L1559" s="556"/>
      <c r="M1559" s="572"/>
      <c r="N1559" s="556"/>
      <c r="O1559" s="556"/>
    </row>
    <row r="1560" spans="3:15">
      <c r="C1560" s="548" t="str">
        <f>IF(D1535="","-",+C1559+1)</f>
        <v>-</v>
      </c>
      <c r="D1560" s="506">
        <f t="shared" si="96"/>
        <v>0</v>
      </c>
      <c r="E1560" s="549">
        <f t="shared" si="101"/>
        <v>0</v>
      </c>
      <c r="F1560" s="506">
        <f t="shared" si="97"/>
        <v>0</v>
      </c>
      <c r="G1560" s="554">
        <f t="shared" si="98"/>
        <v>0</v>
      </c>
      <c r="H1560" s="555">
        <f t="shared" si="99"/>
        <v>0</v>
      </c>
      <c r="I1560" s="552">
        <f t="shared" si="100"/>
        <v>0</v>
      </c>
      <c r="J1560" s="552"/>
      <c r="K1560" s="572"/>
      <c r="L1560" s="556"/>
      <c r="M1560" s="572"/>
      <c r="N1560" s="556"/>
      <c r="O1560" s="556"/>
    </row>
    <row r="1561" spans="3:15">
      <c r="C1561" s="548" t="str">
        <f>IF(D1535="","-",+C1560+1)</f>
        <v>-</v>
      </c>
      <c r="D1561" s="506">
        <f t="shared" si="96"/>
        <v>0</v>
      </c>
      <c r="E1561" s="549">
        <f t="shared" si="101"/>
        <v>0</v>
      </c>
      <c r="F1561" s="506">
        <f t="shared" si="97"/>
        <v>0</v>
      </c>
      <c r="G1561" s="554">
        <f t="shared" si="98"/>
        <v>0</v>
      </c>
      <c r="H1561" s="555">
        <f t="shared" si="99"/>
        <v>0</v>
      </c>
      <c r="I1561" s="552">
        <f t="shared" si="100"/>
        <v>0</v>
      </c>
      <c r="J1561" s="552"/>
      <c r="K1561" s="572"/>
      <c r="L1561" s="556"/>
      <c r="M1561" s="572"/>
      <c r="N1561" s="556"/>
      <c r="O1561" s="556"/>
    </row>
    <row r="1562" spans="3:15">
      <c r="C1562" s="548" t="str">
        <f>IF(D1535="","-",+C1561+1)</f>
        <v>-</v>
      </c>
      <c r="D1562" s="506">
        <f t="shared" si="96"/>
        <v>0</v>
      </c>
      <c r="E1562" s="549">
        <f t="shared" si="101"/>
        <v>0</v>
      </c>
      <c r="F1562" s="506">
        <f t="shared" si="97"/>
        <v>0</v>
      </c>
      <c r="G1562" s="554">
        <f t="shared" si="98"/>
        <v>0</v>
      </c>
      <c r="H1562" s="555">
        <f t="shared" si="99"/>
        <v>0</v>
      </c>
      <c r="I1562" s="552">
        <f t="shared" si="100"/>
        <v>0</v>
      </c>
      <c r="J1562" s="552"/>
      <c r="K1562" s="572"/>
      <c r="L1562" s="556"/>
      <c r="M1562" s="572"/>
      <c r="N1562" s="556"/>
      <c r="O1562" s="556"/>
    </row>
    <row r="1563" spans="3:15">
      <c r="C1563" s="548" t="str">
        <f>IF(D1535="","-",+C1562+1)</f>
        <v>-</v>
      </c>
      <c r="D1563" s="506">
        <f t="shared" si="96"/>
        <v>0</v>
      </c>
      <c r="E1563" s="549">
        <f t="shared" si="101"/>
        <v>0</v>
      </c>
      <c r="F1563" s="506">
        <f t="shared" si="97"/>
        <v>0</v>
      </c>
      <c r="G1563" s="554">
        <f t="shared" si="98"/>
        <v>0</v>
      </c>
      <c r="H1563" s="555">
        <f t="shared" si="99"/>
        <v>0</v>
      </c>
      <c r="I1563" s="552">
        <f t="shared" si="100"/>
        <v>0</v>
      </c>
      <c r="J1563" s="552"/>
      <c r="K1563" s="572"/>
      <c r="L1563" s="556"/>
      <c r="M1563" s="572"/>
      <c r="N1563" s="556"/>
      <c r="O1563" s="556"/>
    </row>
    <row r="1564" spans="3:15">
      <c r="C1564" s="548" t="str">
        <f>IF(D1535="","-",+C1563+1)</f>
        <v>-</v>
      </c>
      <c r="D1564" s="506">
        <f t="shared" si="96"/>
        <v>0</v>
      </c>
      <c r="E1564" s="549">
        <f t="shared" si="101"/>
        <v>0</v>
      </c>
      <c r="F1564" s="506">
        <f t="shared" si="97"/>
        <v>0</v>
      </c>
      <c r="G1564" s="554">
        <f t="shared" si="98"/>
        <v>0</v>
      </c>
      <c r="H1564" s="555">
        <f t="shared" si="99"/>
        <v>0</v>
      </c>
      <c r="I1564" s="552">
        <f t="shared" si="100"/>
        <v>0</v>
      </c>
      <c r="J1564" s="552"/>
      <c r="K1564" s="572"/>
      <c r="L1564" s="556"/>
      <c r="M1564" s="572"/>
      <c r="N1564" s="556"/>
      <c r="O1564" s="556"/>
    </row>
    <row r="1565" spans="3:15">
      <c r="C1565" s="548" t="str">
        <f>IF(D1535="","-",+C1564+1)</f>
        <v>-</v>
      </c>
      <c r="D1565" s="506">
        <f t="shared" si="96"/>
        <v>0</v>
      </c>
      <c r="E1565" s="549">
        <f t="shared" si="101"/>
        <v>0</v>
      </c>
      <c r="F1565" s="506">
        <f t="shared" si="97"/>
        <v>0</v>
      </c>
      <c r="G1565" s="554">
        <f t="shared" si="98"/>
        <v>0</v>
      </c>
      <c r="H1565" s="555">
        <f t="shared" si="99"/>
        <v>0</v>
      </c>
      <c r="I1565" s="552">
        <f t="shared" si="100"/>
        <v>0</v>
      </c>
      <c r="J1565" s="552"/>
      <c r="K1565" s="572"/>
      <c r="L1565" s="556"/>
      <c r="M1565" s="572"/>
      <c r="N1565" s="556"/>
      <c r="O1565" s="556"/>
    </row>
    <row r="1566" spans="3:15">
      <c r="C1566" s="548" t="str">
        <f>IF(D1535="","-",+C1565+1)</f>
        <v>-</v>
      </c>
      <c r="D1566" s="506">
        <f t="shared" si="96"/>
        <v>0</v>
      </c>
      <c r="E1566" s="549">
        <f t="shared" si="101"/>
        <v>0</v>
      </c>
      <c r="F1566" s="506">
        <f t="shared" si="97"/>
        <v>0</v>
      </c>
      <c r="G1566" s="554">
        <f t="shared" si="98"/>
        <v>0</v>
      </c>
      <c r="H1566" s="555">
        <f t="shared" si="99"/>
        <v>0</v>
      </c>
      <c r="I1566" s="552">
        <f t="shared" si="100"/>
        <v>0</v>
      </c>
      <c r="J1566" s="552"/>
      <c r="K1566" s="572"/>
      <c r="L1566" s="556"/>
      <c r="M1566" s="572"/>
      <c r="N1566" s="556"/>
      <c r="O1566" s="556"/>
    </row>
    <row r="1567" spans="3:15">
      <c r="C1567" s="548" t="str">
        <f>IF(D1535="","-",+C1566+1)</f>
        <v>-</v>
      </c>
      <c r="D1567" s="506">
        <f t="shared" si="96"/>
        <v>0</v>
      </c>
      <c r="E1567" s="549">
        <f t="shared" si="101"/>
        <v>0</v>
      </c>
      <c r="F1567" s="506">
        <f t="shared" si="97"/>
        <v>0</v>
      </c>
      <c r="G1567" s="554">
        <f t="shared" si="98"/>
        <v>0</v>
      </c>
      <c r="H1567" s="555">
        <f t="shared" si="99"/>
        <v>0</v>
      </c>
      <c r="I1567" s="552">
        <f t="shared" si="100"/>
        <v>0</v>
      </c>
      <c r="J1567" s="552"/>
      <c r="K1567" s="572"/>
      <c r="L1567" s="556"/>
      <c r="M1567" s="572"/>
      <c r="N1567" s="556"/>
      <c r="O1567" s="556"/>
    </row>
    <row r="1568" spans="3:15">
      <c r="C1568" s="548" t="str">
        <f>IF(D1535="","-",+C1567+1)</f>
        <v>-</v>
      </c>
      <c r="D1568" s="506">
        <f t="shared" si="96"/>
        <v>0</v>
      </c>
      <c r="E1568" s="549">
        <f t="shared" si="101"/>
        <v>0</v>
      </c>
      <c r="F1568" s="506">
        <f t="shared" si="97"/>
        <v>0</v>
      </c>
      <c r="G1568" s="554">
        <f t="shared" si="98"/>
        <v>0</v>
      </c>
      <c r="H1568" s="555">
        <f t="shared" si="99"/>
        <v>0</v>
      </c>
      <c r="I1568" s="552">
        <f t="shared" si="100"/>
        <v>0</v>
      </c>
      <c r="J1568" s="552"/>
      <c r="K1568" s="572"/>
      <c r="L1568" s="556"/>
      <c r="M1568" s="572"/>
      <c r="N1568" s="556"/>
      <c r="O1568" s="556"/>
    </row>
    <row r="1569" spans="3:15">
      <c r="C1569" s="548" t="str">
        <f>IF(D1535="","-",+C1568+1)</f>
        <v>-</v>
      </c>
      <c r="D1569" s="506">
        <f t="shared" si="96"/>
        <v>0</v>
      </c>
      <c r="E1569" s="549">
        <f t="shared" si="101"/>
        <v>0</v>
      </c>
      <c r="F1569" s="506">
        <f t="shared" si="97"/>
        <v>0</v>
      </c>
      <c r="G1569" s="550">
        <f t="shared" si="98"/>
        <v>0</v>
      </c>
      <c r="H1569" s="555">
        <f t="shared" si="99"/>
        <v>0</v>
      </c>
      <c r="I1569" s="552">
        <f t="shared" si="100"/>
        <v>0</v>
      </c>
      <c r="J1569" s="552"/>
      <c r="K1569" s="572"/>
      <c r="L1569" s="556"/>
      <c r="M1569" s="572"/>
      <c r="N1569" s="556"/>
      <c r="O1569" s="556"/>
    </row>
    <row r="1570" spans="3:15">
      <c r="C1570" s="548" t="str">
        <f>IF(D1535="","-",+C1569+1)</f>
        <v>-</v>
      </c>
      <c r="D1570" s="506">
        <f t="shared" si="96"/>
        <v>0</v>
      </c>
      <c r="E1570" s="549">
        <f t="shared" si="101"/>
        <v>0</v>
      </c>
      <c r="F1570" s="506">
        <f t="shared" si="97"/>
        <v>0</v>
      </c>
      <c r="G1570" s="554">
        <f t="shared" si="98"/>
        <v>0</v>
      </c>
      <c r="H1570" s="555">
        <f t="shared" si="99"/>
        <v>0</v>
      </c>
      <c r="I1570" s="552">
        <f t="shared" si="100"/>
        <v>0</v>
      </c>
      <c r="J1570" s="552"/>
      <c r="K1570" s="572"/>
      <c r="L1570" s="556"/>
      <c r="M1570" s="572"/>
      <c r="N1570" s="556"/>
      <c r="O1570" s="556"/>
    </row>
    <row r="1571" spans="3:15">
      <c r="C1571" s="548" t="str">
        <f>IF(D1535="","-",+C1570+1)</f>
        <v>-</v>
      </c>
      <c r="D1571" s="506">
        <f t="shared" si="96"/>
        <v>0</v>
      </c>
      <c r="E1571" s="549">
        <f t="shared" si="101"/>
        <v>0</v>
      </c>
      <c r="F1571" s="506">
        <f t="shared" si="97"/>
        <v>0</v>
      </c>
      <c r="G1571" s="554">
        <f t="shared" si="98"/>
        <v>0</v>
      </c>
      <c r="H1571" s="555">
        <f t="shared" si="99"/>
        <v>0</v>
      </c>
      <c r="I1571" s="552">
        <f t="shared" si="100"/>
        <v>0</v>
      </c>
      <c r="J1571" s="552"/>
      <c r="K1571" s="572"/>
      <c r="L1571" s="556"/>
      <c r="M1571" s="572"/>
      <c r="N1571" s="556"/>
      <c r="O1571" s="556"/>
    </row>
    <row r="1572" spans="3:15">
      <c r="C1572" s="548" t="str">
        <f>IF(D1535="","-",+C1571+1)</f>
        <v>-</v>
      </c>
      <c r="D1572" s="506">
        <f t="shared" si="96"/>
        <v>0</v>
      </c>
      <c r="E1572" s="549">
        <f t="shared" si="101"/>
        <v>0</v>
      </c>
      <c r="F1572" s="506">
        <f t="shared" si="97"/>
        <v>0</v>
      </c>
      <c r="G1572" s="554">
        <f t="shared" si="98"/>
        <v>0</v>
      </c>
      <c r="H1572" s="555">
        <f t="shared" si="99"/>
        <v>0</v>
      </c>
      <c r="I1572" s="552">
        <f t="shared" si="100"/>
        <v>0</v>
      </c>
      <c r="J1572" s="552"/>
      <c r="K1572" s="572"/>
      <c r="L1572" s="556"/>
      <c r="M1572" s="572"/>
      <c r="N1572" s="556"/>
      <c r="O1572" s="556"/>
    </row>
    <row r="1573" spans="3:15">
      <c r="C1573" s="548" t="str">
        <f>IF(D1535="","-",+C1572+1)</f>
        <v>-</v>
      </c>
      <c r="D1573" s="506">
        <f t="shared" si="96"/>
        <v>0</v>
      </c>
      <c r="E1573" s="549">
        <f t="shared" si="101"/>
        <v>0</v>
      </c>
      <c r="F1573" s="506">
        <f t="shared" si="97"/>
        <v>0</v>
      </c>
      <c r="G1573" s="554">
        <f t="shared" si="98"/>
        <v>0</v>
      </c>
      <c r="H1573" s="555">
        <f t="shared" si="99"/>
        <v>0</v>
      </c>
      <c r="I1573" s="552">
        <f t="shared" si="100"/>
        <v>0</v>
      </c>
      <c r="J1573" s="552"/>
      <c r="K1573" s="572"/>
      <c r="L1573" s="556"/>
      <c r="M1573" s="572"/>
      <c r="N1573" s="556"/>
      <c r="O1573" s="556"/>
    </row>
    <row r="1574" spans="3:15">
      <c r="C1574" s="548" t="str">
        <f>IF(D1535="","-",+C1573+1)</f>
        <v>-</v>
      </c>
      <c r="D1574" s="506">
        <f t="shared" si="96"/>
        <v>0</v>
      </c>
      <c r="E1574" s="549">
        <f t="shared" si="101"/>
        <v>0</v>
      </c>
      <c r="F1574" s="506">
        <f t="shared" si="97"/>
        <v>0</v>
      </c>
      <c r="G1574" s="554">
        <f t="shared" si="98"/>
        <v>0</v>
      </c>
      <c r="H1574" s="555">
        <f t="shared" si="99"/>
        <v>0</v>
      </c>
      <c r="I1574" s="552">
        <f t="shared" si="100"/>
        <v>0</v>
      </c>
      <c r="J1574" s="552"/>
      <c r="K1574" s="572"/>
      <c r="L1574" s="556"/>
      <c r="M1574" s="572"/>
      <c r="N1574" s="556"/>
      <c r="O1574" s="556"/>
    </row>
    <row r="1575" spans="3:15">
      <c r="C1575" s="548" t="str">
        <f>IF(D1535="","-",+C1574+1)</f>
        <v>-</v>
      </c>
      <c r="D1575" s="506">
        <f t="shared" si="96"/>
        <v>0</v>
      </c>
      <c r="E1575" s="549">
        <f t="shared" si="101"/>
        <v>0</v>
      </c>
      <c r="F1575" s="506">
        <f t="shared" si="97"/>
        <v>0</v>
      </c>
      <c r="G1575" s="554">
        <f t="shared" si="98"/>
        <v>0</v>
      </c>
      <c r="H1575" s="555">
        <f t="shared" si="99"/>
        <v>0</v>
      </c>
      <c r="I1575" s="552">
        <f t="shared" si="100"/>
        <v>0</v>
      </c>
      <c r="J1575" s="552"/>
      <c r="K1575" s="572"/>
      <c r="L1575" s="556"/>
      <c r="M1575" s="572"/>
      <c r="N1575" s="556"/>
      <c r="O1575" s="556"/>
    </row>
    <row r="1576" spans="3:15">
      <c r="C1576" s="548" t="str">
        <f>IF(D1535="","-",+C1575+1)</f>
        <v>-</v>
      </c>
      <c r="D1576" s="506">
        <f t="shared" si="96"/>
        <v>0</v>
      </c>
      <c r="E1576" s="549">
        <f t="shared" si="101"/>
        <v>0</v>
      </c>
      <c r="F1576" s="506">
        <f t="shared" si="97"/>
        <v>0</v>
      </c>
      <c r="G1576" s="554">
        <f t="shared" si="98"/>
        <v>0</v>
      </c>
      <c r="H1576" s="555">
        <f t="shared" si="99"/>
        <v>0</v>
      </c>
      <c r="I1576" s="552">
        <f t="shared" si="100"/>
        <v>0</v>
      </c>
      <c r="J1576" s="552"/>
      <c r="K1576" s="572"/>
      <c r="L1576" s="556"/>
      <c r="M1576" s="572"/>
      <c r="N1576" s="556"/>
      <c r="O1576" s="556"/>
    </row>
    <row r="1577" spans="3:15">
      <c r="C1577" s="548" t="str">
        <f>IF(D1535="","-",+C1576+1)</f>
        <v>-</v>
      </c>
      <c r="D1577" s="506">
        <f t="shared" si="96"/>
        <v>0</v>
      </c>
      <c r="E1577" s="549">
        <f t="shared" si="101"/>
        <v>0</v>
      </c>
      <c r="F1577" s="506">
        <f t="shared" si="97"/>
        <v>0</v>
      </c>
      <c r="G1577" s="554">
        <f t="shared" si="98"/>
        <v>0</v>
      </c>
      <c r="H1577" s="555">
        <f t="shared" si="99"/>
        <v>0</v>
      </c>
      <c r="I1577" s="552">
        <f t="shared" si="100"/>
        <v>0</v>
      </c>
      <c r="J1577" s="552"/>
      <c r="K1577" s="572"/>
      <c r="L1577" s="556"/>
      <c r="M1577" s="572"/>
      <c r="N1577" s="556"/>
      <c r="O1577" s="556"/>
    </row>
    <row r="1578" spans="3:15">
      <c r="C1578" s="548" t="str">
        <f>IF(D1535="","-",+C1577+1)</f>
        <v>-</v>
      </c>
      <c r="D1578" s="506">
        <f t="shared" si="96"/>
        <v>0</v>
      </c>
      <c r="E1578" s="549">
        <f t="shared" si="101"/>
        <v>0</v>
      </c>
      <c r="F1578" s="506">
        <f t="shared" si="97"/>
        <v>0</v>
      </c>
      <c r="G1578" s="554">
        <f t="shared" si="98"/>
        <v>0</v>
      </c>
      <c r="H1578" s="555">
        <f t="shared" si="99"/>
        <v>0</v>
      </c>
      <c r="I1578" s="552">
        <f t="shared" si="100"/>
        <v>0</v>
      </c>
      <c r="J1578" s="552"/>
      <c r="K1578" s="572"/>
      <c r="L1578" s="556"/>
      <c r="M1578" s="572"/>
      <c r="N1578" s="556"/>
      <c r="O1578" s="556"/>
    </row>
    <row r="1579" spans="3:15">
      <c r="C1579" s="548" t="str">
        <f>IF(D1535="","-",+C1578+1)</f>
        <v>-</v>
      </c>
      <c r="D1579" s="506">
        <f t="shared" si="96"/>
        <v>0</v>
      </c>
      <c r="E1579" s="549">
        <f t="shared" si="101"/>
        <v>0</v>
      </c>
      <c r="F1579" s="506">
        <f t="shared" si="97"/>
        <v>0</v>
      </c>
      <c r="G1579" s="554">
        <f t="shared" si="98"/>
        <v>0</v>
      </c>
      <c r="H1579" s="555">
        <f t="shared" si="99"/>
        <v>0</v>
      </c>
      <c r="I1579" s="552">
        <f t="shared" si="100"/>
        <v>0</v>
      </c>
      <c r="J1579" s="552"/>
      <c r="K1579" s="572"/>
      <c r="L1579" s="556"/>
      <c r="M1579" s="572"/>
      <c r="N1579" s="556"/>
      <c r="O1579" s="556"/>
    </row>
    <row r="1580" spans="3:15">
      <c r="C1580" s="548" t="str">
        <f>IF(D1535="","-",+C1579+1)</f>
        <v>-</v>
      </c>
      <c r="D1580" s="506">
        <f t="shared" si="96"/>
        <v>0</v>
      </c>
      <c r="E1580" s="549">
        <f t="shared" si="101"/>
        <v>0</v>
      </c>
      <c r="F1580" s="506">
        <f t="shared" si="97"/>
        <v>0</v>
      </c>
      <c r="G1580" s="554">
        <f t="shared" si="98"/>
        <v>0</v>
      </c>
      <c r="H1580" s="555">
        <f t="shared" si="99"/>
        <v>0</v>
      </c>
      <c r="I1580" s="552">
        <f t="shared" si="100"/>
        <v>0</v>
      </c>
      <c r="J1580" s="552"/>
      <c r="K1580" s="572"/>
      <c r="L1580" s="556"/>
      <c r="M1580" s="572"/>
      <c r="N1580" s="556"/>
      <c r="O1580" s="556"/>
    </row>
    <row r="1581" spans="3:15">
      <c r="C1581" s="548" t="str">
        <f>IF(D1535="","-",+C1580+1)</f>
        <v>-</v>
      </c>
      <c r="D1581" s="506">
        <f t="shared" si="96"/>
        <v>0</v>
      </c>
      <c r="E1581" s="549">
        <f t="shared" si="101"/>
        <v>0</v>
      </c>
      <c r="F1581" s="506">
        <f t="shared" si="97"/>
        <v>0</v>
      </c>
      <c r="G1581" s="554">
        <f t="shared" si="98"/>
        <v>0</v>
      </c>
      <c r="H1581" s="555">
        <f t="shared" si="99"/>
        <v>0</v>
      </c>
      <c r="I1581" s="552">
        <f t="shared" si="100"/>
        <v>0</v>
      </c>
      <c r="J1581" s="552"/>
      <c r="K1581" s="572"/>
      <c r="L1581" s="556"/>
      <c r="M1581" s="572"/>
      <c r="N1581" s="556"/>
      <c r="O1581" s="556"/>
    </row>
    <row r="1582" spans="3:15">
      <c r="C1582" s="548" t="str">
        <f>IF(D1535="","-",+C1581+1)</f>
        <v>-</v>
      </c>
      <c r="D1582" s="506">
        <f t="shared" si="96"/>
        <v>0</v>
      </c>
      <c r="E1582" s="549">
        <f t="shared" si="101"/>
        <v>0</v>
      </c>
      <c r="F1582" s="506">
        <f t="shared" si="97"/>
        <v>0</v>
      </c>
      <c r="G1582" s="554">
        <f t="shared" si="98"/>
        <v>0</v>
      </c>
      <c r="H1582" s="555">
        <f t="shared" si="99"/>
        <v>0</v>
      </c>
      <c r="I1582" s="552">
        <f t="shared" si="100"/>
        <v>0</v>
      </c>
      <c r="J1582" s="552"/>
      <c r="K1582" s="572"/>
      <c r="L1582" s="556"/>
      <c r="M1582" s="572"/>
      <c r="N1582" s="556"/>
      <c r="O1582" s="556"/>
    </row>
    <row r="1583" spans="3:15">
      <c r="C1583" s="548" t="str">
        <f>IF(D1535="","-",+C1582+1)</f>
        <v>-</v>
      </c>
      <c r="D1583" s="506">
        <f t="shared" si="96"/>
        <v>0</v>
      </c>
      <c r="E1583" s="549">
        <f t="shared" si="101"/>
        <v>0</v>
      </c>
      <c r="F1583" s="506">
        <f t="shared" si="97"/>
        <v>0</v>
      </c>
      <c r="G1583" s="554">
        <f t="shared" si="98"/>
        <v>0</v>
      </c>
      <c r="H1583" s="555">
        <f t="shared" si="99"/>
        <v>0</v>
      </c>
      <c r="I1583" s="552">
        <f t="shared" si="100"/>
        <v>0</v>
      </c>
      <c r="J1583" s="552"/>
      <c r="K1583" s="572"/>
      <c r="L1583" s="556"/>
      <c r="M1583" s="572"/>
      <c r="N1583" s="556"/>
      <c r="O1583" s="556"/>
    </row>
    <row r="1584" spans="3:15">
      <c r="C1584" s="548" t="str">
        <f>IF(D1535="","-",+C1583+1)</f>
        <v>-</v>
      </c>
      <c r="D1584" s="506">
        <f t="shared" si="96"/>
        <v>0</v>
      </c>
      <c r="E1584" s="549">
        <f t="shared" si="101"/>
        <v>0</v>
      </c>
      <c r="F1584" s="506">
        <f t="shared" si="97"/>
        <v>0</v>
      </c>
      <c r="G1584" s="554">
        <f t="shared" si="98"/>
        <v>0</v>
      </c>
      <c r="H1584" s="555">
        <f t="shared" si="99"/>
        <v>0</v>
      </c>
      <c r="I1584" s="552">
        <f t="shared" si="100"/>
        <v>0</v>
      </c>
      <c r="J1584" s="552"/>
      <c r="K1584" s="572"/>
      <c r="L1584" s="556"/>
      <c r="M1584" s="572"/>
      <c r="N1584" s="556"/>
      <c r="O1584" s="556"/>
    </row>
    <row r="1585" spans="3:15">
      <c r="C1585" s="548" t="str">
        <f>IF(D1535="","-",+C1584+1)</f>
        <v>-</v>
      </c>
      <c r="D1585" s="506">
        <f t="shared" si="96"/>
        <v>0</v>
      </c>
      <c r="E1585" s="549">
        <f t="shared" si="101"/>
        <v>0</v>
      </c>
      <c r="F1585" s="506">
        <f t="shared" si="97"/>
        <v>0</v>
      </c>
      <c r="G1585" s="554">
        <f t="shared" si="98"/>
        <v>0</v>
      </c>
      <c r="H1585" s="555">
        <f t="shared" si="99"/>
        <v>0</v>
      </c>
      <c r="I1585" s="552">
        <f t="shared" si="100"/>
        <v>0</v>
      </c>
      <c r="J1585" s="552"/>
      <c r="K1585" s="572"/>
      <c r="L1585" s="556"/>
      <c r="M1585" s="572"/>
      <c r="N1585" s="556"/>
      <c r="O1585" s="556"/>
    </row>
    <row r="1586" spans="3:15">
      <c r="C1586" s="548" t="str">
        <f>IF(D1535="","-",+C1585+1)</f>
        <v>-</v>
      </c>
      <c r="D1586" s="506">
        <f t="shared" si="96"/>
        <v>0</v>
      </c>
      <c r="E1586" s="549">
        <f t="shared" si="101"/>
        <v>0</v>
      </c>
      <c r="F1586" s="506">
        <f t="shared" si="97"/>
        <v>0</v>
      </c>
      <c r="G1586" s="554">
        <f t="shared" si="98"/>
        <v>0</v>
      </c>
      <c r="H1586" s="555">
        <f t="shared" si="99"/>
        <v>0</v>
      </c>
      <c r="I1586" s="552">
        <f t="shared" si="100"/>
        <v>0</v>
      </c>
      <c r="J1586" s="552"/>
      <c r="K1586" s="572"/>
      <c r="L1586" s="556"/>
      <c r="M1586" s="572"/>
      <c r="N1586" s="556"/>
      <c r="O1586" s="556"/>
    </row>
    <row r="1587" spans="3:15">
      <c r="C1587" s="548" t="str">
        <f>IF(D1535="","-",+C1586+1)</f>
        <v>-</v>
      </c>
      <c r="D1587" s="506">
        <f t="shared" si="96"/>
        <v>0</v>
      </c>
      <c r="E1587" s="549">
        <f t="shared" si="101"/>
        <v>0</v>
      </c>
      <c r="F1587" s="506">
        <f t="shared" si="97"/>
        <v>0</v>
      </c>
      <c r="G1587" s="554">
        <f t="shared" si="98"/>
        <v>0</v>
      </c>
      <c r="H1587" s="555">
        <f t="shared" si="99"/>
        <v>0</v>
      </c>
      <c r="I1587" s="552">
        <f t="shared" si="100"/>
        <v>0</v>
      </c>
      <c r="J1587" s="552"/>
      <c r="K1587" s="572"/>
      <c r="L1587" s="556"/>
      <c r="M1587" s="572"/>
      <c r="N1587" s="556"/>
      <c r="O1587" s="556"/>
    </row>
    <row r="1588" spans="3:15">
      <c r="C1588" s="548" t="str">
        <f>IF(D1535="","-",+C1587+1)</f>
        <v>-</v>
      </c>
      <c r="D1588" s="506">
        <f t="shared" si="96"/>
        <v>0</v>
      </c>
      <c r="E1588" s="549">
        <f t="shared" si="101"/>
        <v>0</v>
      </c>
      <c r="F1588" s="506">
        <f t="shared" si="97"/>
        <v>0</v>
      </c>
      <c r="G1588" s="554">
        <f t="shared" si="98"/>
        <v>0</v>
      </c>
      <c r="H1588" s="555">
        <f t="shared" si="99"/>
        <v>0</v>
      </c>
      <c r="I1588" s="552">
        <f t="shared" si="100"/>
        <v>0</v>
      </c>
      <c r="J1588" s="552"/>
      <c r="K1588" s="572"/>
      <c r="L1588" s="556"/>
      <c r="M1588" s="572"/>
      <c r="N1588" s="556"/>
      <c r="O1588" s="556"/>
    </row>
    <row r="1589" spans="3:15">
      <c r="C1589" s="548" t="str">
        <f>IF(D1535="","-",+C1588+1)</f>
        <v>-</v>
      </c>
      <c r="D1589" s="506">
        <f t="shared" si="96"/>
        <v>0</v>
      </c>
      <c r="E1589" s="549">
        <f t="shared" si="101"/>
        <v>0</v>
      </c>
      <c r="F1589" s="506">
        <f t="shared" si="97"/>
        <v>0</v>
      </c>
      <c r="G1589" s="554">
        <f t="shared" si="98"/>
        <v>0</v>
      </c>
      <c r="H1589" s="555">
        <f t="shared" si="99"/>
        <v>0</v>
      </c>
      <c r="I1589" s="552">
        <f t="shared" si="100"/>
        <v>0</v>
      </c>
      <c r="J1589" s="552"/>
      <c r="K1589" s="572"/>
      <c r="L1589" s="556"/>
      <c r="M1589" s="572"/>
      <c r="N1589" s="556"/>
      <c r="O1589" s="556"/>
    </row>
    <row r="1590" spans="3:15">
      <c r="C1590" s="548" t="str">
        <f>IF(D1535="","-",+C1589+1)</f>
        <v>-</v>
      </c>
      <c r="D1590" s="506">
        <f t="shared" si="96"/>
        <v>0</v>
      </c>
      <c r="E1590" s="549">
        <f t="shared" si="101"/>
        <v>0</v>
      </c>
      <c r="F1590" s="506">
        <f t="shared" si="97"/>
        <v>0</v>
      </c>
      <c r="G1590" s="554">
        <f t="shared" si="98"/>
        <v>0</v>
      </c>
      <c r="H1590" s="555">
        <f t="shared" si="99"/>
        <v>0</v>
      </c>
      <c r="I1590" s="552">
        <f t="shared" si="100"/>
        <v>0</v>
      </c>
      <c r="J1590" s="552"/>
      <c r="K1590" s="572"/>
      <c r="L1590" s="556"/>
      <c r="M1590" s="572"/>
      <c r="N1590" s="556"/>
      <c r="O1590" s="556"/>
    </row>
    <row r="1591" spans="3:15">
      <c r="C1591" s="548" t="str">
        <f>IF(D1535="","-",+C1590+1)</f>
        <v>-</v>
      </c>
      <c r="D1591" s="506">
        <f t="shared" si="96"/>
        <v>0</v>
      </c>
      <c r="E1591" s="549">
        <f t="shared" si="101"/>
        <v>0</v>
      </c>
      <c r="F1591" s="506">
        <f t="shared" si="97"/>
        <v>0</v>
      </c>
      <c r="G1591" s="554">
        <f t="shared" si="98"/>
        <v>0</v>
      </c>
      <c r="H1591" s="555">
        <f t="shared" si="99"/>
        <v>0</v>
      </c>
      <c r="I1591" s="552">
        <f t="shared" si="100"/>
        <v>0</v>
      </c>
      <c r="J1591" s="552"/>
      <c r="K1591" s="572"/>
      <c r="L1591" s="556"/>
      <c r="M1591" s="572"/>
      <c r="N1591" s="556"/>
      <c r="O1591" s="556"/>
    </row>
    <row r="1592" spans="3:15">
      <c r="C1592" s="548" t="str">
        <f>IF(D1535="","-",+C1591+1)</f>
        <v>-</v>
      </c>
      <c r="D1592" s="506">
        <f t="shared" si="96"/>
        <v>0</v>
      </c>
      <c r="E1592" s="549">
        <f t="shared" si="101"/>
        <v>0</v>
      </c>
      <c r="F1592" s="506">
        <f t="shared" si="97"/>
        <v>0</v>
      </c>
      <c r="G1592" s="554">
        <f t="shared" si="98"/>
        <v>0</v>
      </c>
      <c r="H1592" s="555">
        <f t="shared" si="99"/>
        <v>0</v>
      </c>
      <c r="I1592" s="552">
        <f t="shared" si="100"/>
        <v>0</v>
      </c>
      <c r="J1592" s="552"/>
      <c r="K1592" s="572"/>
      <c r="L1592" s="556"/>
      <c r="M1592" s="572"/>
      <c r="N1592" s="556"/>
      <c r="O1592" s="556"/>
    </row>
    <row r="1593" spans="3:15">
      <c r="C1593" s="548" t="str">
        <f>IF(D1535="","-",+C1592+1)</f>
        <v>-</v>
      </c>
      <c r="D1593" s="506">
        <f t="shared" si="96"/>
        <v>0</v>
      </c>
      <c r="E1593" s="549">
        <f t="shared" si="101"/>
        <v>0</v>
      </c>
      <c r="F1593" s="506">
        <f t="shared" si="97"/>
        <v>0</v>
      </c>
      <c r="G1593" s="554">
        <f t="shared" si="98"/>
        <v>0</v>
      </c>
      <c r="H1593" s="555">
        <f t="shared" si="99"/>
        <v>0</v>
      </c>
      <c r="I1593" s="552">
        <f t="shared" si="100"/>
        <v>0</v>
      </c>
      <c r="J1593" s="552"/>
      <c r="K1593" s="572"/>
      <c r="L1593" s="556"/>
      <c r="M1593" s="572"/>
      <c r="N1593" s="556"/>
      <c r="O1593" s="556"/>
    </row>
    <row r="1594" spans="3:15">
      <c r="C1594" s="548" t="str">
        <f>IF(D1535="","-",+C1593+1)</f>
        <v>-</v>
      </c>
      <c r="D1594" s="506">
        <f t="shared" si="96"/>
        <v>0</v>
      </c>
      <c r="E1594" s="549">
        <f t="shared" si="101"/>
        <v>0</v>
      </c>
      <c r="F1594" s="506">
        <f t="shared" si="97"/>
        <v>0</v>
      </c>
      <c r="G1594" s="554">
        <f t="shared" si="98"/>
        <v>0</v>
      </c>
      <c r="H1594" s="555">
        <f t="shared" si="99"/>
        <v>0</v>
      </c>
      <c r="I1594" s="552">
        <f t="shared" si="100"/>
        <v>0</v>
      </c>
      <c r="J1594" s="552"/>
      <c r="K1594" s="572"/>
      <c r="L1594" s="556"/>
      <c r="M1594" s="572"/>
      <c r="N1594" s="556"/>
      <c r="O1594" s="556"/>
    </row>
    <row r="1595" spans="3:15">
      <c r="C1595" s="548" t="str">
        <f>IF(D1535="","-",+C1594+1)</f>
        <v>-</v>
      </c>
      <c r="D1595" s="506">
        <f t="shared" si="96"/>
        <v>0</v>
      </c>
      <c r="E1595" s="549">
        <f t="shared" si="101"/>
        <v>0</v>
      </c>
      <c r="F1595" s="506">
        <f t="shared" si="97"/>
        <v>0</v>
      </c>
      <c r="G1595" s="554">
        <f t="shared" si="98"/>
        <v>0</v>
      </c>
      <c r="H1595" s="555">
        <f t="shared" si="99"/>
        <v>0</v>
      </c>
      <c r="I1595" s="552">
        <f t="shared" si="100"/>
        <v>0</v>
      </c>
      <c r="J1595" s="552"/>
      <c r="K1595" s="572"/>
      <c r="L1595" s="556"/>
      <c r="M1595" s="572"/>
      <c r="N1595" s="556"/>
      <c r="O1595" s="556"/>
    </row>
    <row r="1596" spans="3:15">
      <c r="C1596" s="548" t="str">
        <f>IF(D1535="","-",+C1595+1)</f>
        <v>-</v>
      </c>
      <c r="D1596" s="506">
        <f t="shared" si="96"/>
        <v>0</v>
      </c>
      <c r="E1596" s="549">
        <f t="shared" si="101"/>
        <v>0</v>
      </c>
      <c r="F1596" s="506">
        <f t="shared" si="97"/>
        <v>0</v>
      </c>
      <c r="G1596" s="554">
        <f t="shared" si="98"/>
        <v>0</v>
      </c>
      <c r="H1596" s="555">
        <f t="shared" si="99"/>
        <v>0</v>
      </c>
      <c r="I1596" s="552">
        <f t="shared" si="100"/>
        <v>0</v>
      </c>
      <c r="J1596" s="552"/>
      <c r="K1596" s="572"/>
      <c r="L1596" s="556"/>
      <c r="M1596" s="572"/>
      <c r="N1596" s="556"/>
      <c r="O1596" s="556"/>
    </row>
    <row r="1597" spans="3:15">
      <c r="C1597" s="548" t="str">
        <f>IF(D1535="","-",+C1596+1)</f>
        <v>-</v>
      </c>
      <c r="D1597" s="506">
        <f t="shared" si="96"/>
        <v>0</v>
      </c>
      <c r="E1597" s="549">
        <f t="shared" si="101"/>
        <v>0</v>
      </c>
      <c r="F1597" s="506">
        <f t="shared" si="97"/>
        <v>0</v>
      </c>
      <c r="G1597" s="554">
        <f t="shared" si="98"/>
        <v>0</v>
      </c>
      <c r="H1597" s="555">
        <f t="shared" si="99"/>
        <v>0</v>
      </c>
      <c r="I1597" s="552">
        <f t="shared" si="100"/>
        <v>0</v>
      </c>
      <c r="J1597" s="552"/>
      <c r="K1597" s="572"/>
      <c r="L1597" s="556"/>
      <c r="M1597" s="572"/>
      <c r="N1597" s="556"/>
      <c r="O1597" s="556"/>
    </row>
    <row r="1598" spans="3:15">
      <c r="C1598" s="548" t="str">
        <f>IF(D1535="","-",+C1597+1)</f>
        <v>-</v>
      </c>
      <c r="D1598" s="506">
        <f t="shared" si="96"/>
        <v>0</v>
      </c>
      <c r="E1598" s="549">
        <f t="shared" si="101"/>
        <v>0</v>
      </c>
      <c r="F1598" s="506">
        <f t="shared" si="97"/>
        <v>0</v>
      </c>
      <c r="G1598" s="554">
        <f t="shared" si="98"/>
        <v>0</v>
      </c>
      <c r="H1598" s="555">
        <f t="shared" si="99"/>
        <v>0</v>
      </c>
      <c r="I1598" s="552">
        <f t="shared" si="100"/>
        <v>0</v>
      </c>
      <c r="J1598" s="552"/>
      <c r="K1598" s="572"/>
      <c r="L1598" s="556"/>
      <c r="M1598" s="572"/>
      <c r="N1598" s="556"/>
      <c r="O1598" s="556"/>
    </row>
    <row r="1599" spans="3:15">
      <c r="C1599" s="548" t="str">
        <f>IF(D1535="","-",+C1598+1)</f>
        <v>-</v>
      </c>
      <c r="D1599" s="506">
        <f t="shared" si="96"/>
        <v>0</v>
      </c>
      <c r="E1599" s="549">
        <f t="shared" si="101"/>
        <v>0</v>
      </c>
      <c r="F1599" s="506">
        <f t="shared" si="97"/>
        <v>0</v>
      </c>
      <c r="G1599" s="554">
        <f t="shared" si="98"/>
        <v>0</v>
      </c>
      <c r="H1599" s="555">
        <f t="shared" si="99"/>
        <v>0</v>
      </c>
      <c r="I1599" s="552">
        <f t="shared" si="100"/>
        <v>0</v>
      </c>
      <c r="J1599" s="552"/>
      <c r="K1599" s="572"/>
      <c r="L1599" s="556"/>
      <c r="M1599" s="572"/>
      <c r="N1599" s="556"/>
      <c r="O1599" s="556"/>
    </row>
    <row r="1600" spans="3:15" ht="13.5" thickBot="1">
      <c r="C1600" s="558" t="str">
        <f>IF(D1535="","-",+C1599+1)</f>
        <v>-</v>
      </c>
      <c r="D1600" s="559">
        <f t="shared" si="96"/>
        <v>0</v>
      </c>
      <c r="E1600" s="560">
        <f t="shared" si="101"/>
        <v>0</v>
      </c>
      <c r="F1600" s="559">
        <f t="shared" si="97"/>
        <v>0</v>
      </c>
      <c r="G1600" s="561">
        <f t="shared" si="98"/>
        <v>0</v>
      </c>
      <c r="H1600" s="561">
        <f t="shared" si="99"/>
        <v>0</v>
      </c>
      <c r="I1600" s="562">
        <f t="shared" si="100"/>
        <v>0</v>
      </c>
      <c r="J1600" s="552"/>
      <c r="K1600" s="573"/>
      <c r="L1600" s="563"/>
      <c r="M1600" s="573"/>
      <c r="N1600" s="563"/>
      <c r="O1600" s="563"/>
    </row>
    <row r="1601" spans="1:16">
      <c r="C1601" s="506" t="s">
        <v>83</v>
      </c>
      <c r="D1601" s="503"/>
      <c r="E1601" s="503">
        <f>SUM(E1541:E1600)</f>
        <v>0</v>
      </c>
      <c r="F1601" s="503"/>
      <c r="G1601" s="503">
        <f>SUM(G1541:G1600)</f>
        <v>0</v>
      </c>
      <c r="H1601" s="503">
        <f>SUM(H1541:H1600)</f>
        <v>0</v>
      </c>
      <c r="I1601" s="503">
        <f>SUM(I1541:I1600)</f>
        <v>0</v>
      </c>
      <c r="J1601" s="503"/>
      <c r="K1601" s="503"/>
      <c r="L1601" s="503"/>
      <c r="M1601" s="503"/>
      <c r="N1601" s="503"/>
      <c r="O1601" s="3"/>
    </row>
    <row r="1602" spans="1:16">
      <c r="D1602" s="47"/>
      <c r="E1602" s="3"/>
      <c r="F1602" s="3"/>
      <c r="G1602" s="3"/>
      <c r="H1602" s="490"/>
      <c r="I1602" s="490"/>
      <c r="J1602" s="503"/>
      <c r="K1602" s="490"/>
      <c r="L1602" s="490"/>
      <c r="M1602" s="490"/>
      <c r="N1602" s="490"/>
      <c r="O1602" s="3"/>
    </row>
    <row r="1603" spans="1:16">
      <c r="C1603" s="3" t="s">
        <v>13</v>
      </c>
      <c r="D1603" s="47"/>
      <c r="E1603" s="3"/>
      <c r="F1603" s="3"/>
      <c r="G1603" s="3"/>
      <c r="H1603" s="490"/>
      <c r="I1603" s="490"/>
      <c r="J1603" s="503"/>
      <c r="K1603" s="490"/>
      <c r="L1603" s="490"/>
      <c r="M1603" s="490"/>
      <c r="N1603" s="490"/>
      <c r="O1603" s="3"/>
    </row>
    <row r="1604" spans="1:16">
      <c r="C1604" s="3"/>
      <c r="D1604" s="47"/>
      <c r="E1604" s="3"/>
      <c r="F1604" s="3"/>
      <c r="G1604" s="3"/>
      <c r="H1604" s="490"/>
      <c r="I1604" s="490"/>
      <c r="J1604" s="503"/>
      <c r="K1604" s="490"/>
      <c r="L1604" s="490"/>
      <c r="M1604" s="490"/>
      <c r="N1604" s="490"/>
      <c r="O1604" s="3"/>
    </row>
    <row r="1605" spans="1:16">
      <c r="C1605" s="518" t="s">
        <v>14</v>
      </c>
      <c r="D1605" s="506"/>
      <c r="E1605" s="506"/>
      <c r="F1605" s="506"/>
      <c r="G1605" s="503"/>
      <c r="H1605" s="503"/>
      <c r="I1605" s="564"/>
      <c r="J1605" s="564"/>
      <c r="K1605" s="564"/>
      <c r="L1605" s="564"/>
      <c r="M1605" s="564"/>
      <c r="N1605" s="564"/>
      <c r="O1605" s="3"/>
    </row>
    <row r="1606" spans="1:16">
      <c r="C1606" s="507" t="s">
        <v>263</v>
      </c>
      <c r="D1606" s="506"/>
      <c r="E1606" s="506"/>
      <c r="F1606" s="506"/>
      <c r="G1606" s="503"/>
      <c r="H1606" s="503"/>
      <c r="I1606" s="564"/>
      <c r="J1606" s="564"/>
      <c r="K1606" s="564"/>
      <c r="L1606" s="564"/>
      <c r="M1606" s="564"/>
      <c r="N1606" s="564"/>
      <c r="O1606" s="3"/>
    </row>
    <row r="1607" spans="1:16">
      <c r="C1607" s="507" t="s">
        <v>84</v>
      </c>
      <c r="D1607" s="506"/>
      <c r="E1607" s="506"/>
      <c r="F1607" s="506"/>
      <c r="G1607" s="503"/>
      <c r="H1607" s="503"/>
      <c r="I1607" s="564"/>
      <c r="J1607" s="564"/>
      <c r="K1607" s="564"/>
      <c r="L1607" s="564"/>
      <c r="M1607" s="564"/>
      <c r="N1607" s="564"/>
      <c r="O1607" s="3"/>
    </row>
    <row r="1608" spans="1:16">
      <c r="C1608" s="507"/>
      <c r="D1608" s="506"/>
      <c r="E1608" s="506"/>
      <c r="F1608" s="506"/>
      <c r="G1608" s="503"/>
      <c r="H1608" s="503"/>
      <c r="I1608" s="564"/>
      <c r="J1608" s="564"/>
      <c r="K1608" s="564"/>
      <c r="L1608" s="564"/>
      <c r="M1608" s="564"/>
      <c r="N1608" s="564"/>
      <c r="O1608" s="3"/>
    </row>
    <row r="1609" spans="1:16">
      <c r="C1609" s="1200" t="s">
        <v>6</v>
      </c>
      <c r="D1609" s="1200"/>
      <c r="E1609" s="1200"/>
      <c r="F1609" s="1200"/>
      <c r="G1609" s="1200"/>
      <c r="H1609" s="1200"/>
      <c r="I1609" s="1200"/>
      <c r="J1609" s="1200"/>
      <c r="K1609" s="1200"/>
      <c r="L1609" s="1200"/>
      <c r="M1609" s="1200"/>
      <c r="N1609" s="1200"/>
      <c r="O1609" s="1200"/>
    </row>
    <row r="1610" spans="1:16">
      <c r="C1610" s="1200"/>
      <c r="D1610" s="1200"/>
      <c r="E1610" s="1200"/>
      <c r="F1610" s="1200"/>
      <c r="G1610" s="1200"/>
      <c r="H1610" s="1200"/>
      <c r="I1610" s="1200"/>
      <c r="J1610" s="1200"/>
      <c r="K1610" s="1200"/>
      <c r="L1610" s="1200"/>
      <c r="M1610" s="1200"/>
      <c r="N1610" s="1200"/>
      <c r="O1610" s="1200"/>
    </row>
    <row r="1611" spans="1:16">
      <c r="C1611" s="507"/>
      <c r="D1611" s="506"/>
      <c r="E1611" s="506"/>
      <c r="F1611" s="506"/>
      <c r="G1611" s="503"/>
      <c r="H1611" s="503"/>
    </row>
    <row r="1612" spans="1:16" ht="20.25">
      <c r="A1612" s="447" t="str">
        <f>""&amp;A1536&amp;" Worksheet J -  ATRR PROJECTED Calculation for PJM Projects Charged to Benefiting Zones"</f>
        <v xml:space="preserve"> Worksheet J -  ATRR PROJECTED Calculation for PJM Projects Charged to Benefiting Zones</v>
      </c>
      <c r="B1612" s="3"/>
      <c r="C1612" s="3"/>
      <c r="D1612" s="47"/>
      <c r="E1612" s="3"/>
      <c r="F1612" s="489"/>
      <c r="G1612" s="3"/>
      <c r="H1612" s="490"/>
      <c r="K1612" s="398"/>
      <c r="L1612" s="398"/>
      <c r="M1612" s="398"/>
      <c r="N1612" s="398" t="str">
        <f>"Page "&amp;SUM(P$8:P1612)&amp;" of "</f>
        <v xml:space="preserve">Page 19 of </v>
      </c>
      <c r="O1612" s="448">
        <f>COUNT(P$8:P$56653)</f>
        <v>23</v>
      </c>
      <c r="P1612">
        <v>1</v>
      </c>
    </row>
    <row r="1613" spans="1:16">
      <c r="B1613" s="3"/>
      <c r="C1613" s="3"/>
      <c r="D1613" s="47"/>
      <c r="E1613" s="3"/>
      <c r="F1613" s="3"/>
      <c r="G1613" s="3"/>
      <c r="H1613" s="490"/>
      <c r="I1613" s="3"/>
      <c r="J1613" s="3"/>
      <c r="K1613" s="3"/>
      <c r="L1613" s="3"/>
      <c r="M1613" s="3"/>
      <c r="N1613" s="3"/>
      <c r="O1613" s="3"/>
    </row>
    <row r="1614" spans="1:16" ht="18">
      <c r="B1614" s="449" t="s">
        <v>464</v>
      </c>
      <c r="C1614" s="122" t="s">
        <v>85</v>
      </c>
      <c r="D1614" s="47"/>
      <c r="E1614" s="3"/>
      <c r="F1614" s="3"/>
      <c r="G1614" s="3"/>
      <c r="H1614" s="490"/>
      <c r="I1614" s="490"/>
      <c r="J1614" s="503"/>
      <c r="K1614" s="490"/>
      <c r="L1614" s="490"/>
      <c r="M1614" s="490"/>
      <c r="N1614" s="490"/>
      <c r="O1614" s="3"/>
    </row>
    <row r="1615" spans="1:16" ht="18.75">
      <c r="B1615" s="449"/>
      <c r="C1615" s="6"/>
      <c r="D1615" s="47"/>
      <c r="E1615" s="3"/>
      <c r="F1615" s="3"/>
      <c r="G1615" s="3"/>
      <c r="H1615" s="490"/>
      <c r="I1615" s="490"/>
      <c r="J1615" s="503"/>
      <c r="K1615" s="490"/>
      <c r="L1615" s="490"/>
      <c r="M1615" s="490"/>
      <c r="N1615" s="490"/>
      <c r="O1615" s="3"/>
    </row>
    <row r="1616" spans="1:16" ht="18.75">
      <c r="B1616" s="449"/>
      <c r="C1616" s="6" t="s">
        <v>86</v>
      </c>
      <c r="D1616" s="47"/>
      <c r="E1616" s="3"/>
      <c r="F1616" s="3"/>
      <c r="G1616" s="3"/>
      <c r="H1616" s="490"/>
      <c r="I1616" s="490"/>
      <c r="J1616" s="503"/>
      <c r="K1616" s="490"/>
      <c r="L1616" s="490"/>
      <c r="M1616" s="490"/>
      <c r="N1616" s="490"/>
      <c r="O1616" s="3"/>
    </row>
    <row r="1617" spans="2:15" ht="15.75" thickBot="1">
      <c r="C1617" s="131"/>
      <c r="D1617" s="47"/>
      <c r="E1617" s="3"/>
      <c r="F1617" s="3"/>
      <c r="G1617" s="3"/>
      <c r="H1617" s="490"/>
      <c r="I1617" s="490"/>
      <c r="J1617" s="503"/>
      <c r="K1617" s="490"/>
      <c r="L1617" s="490"/>
      <c r="M1617" s="490"/>
      <c r="N1617" s="490"/>
      <c r="O1617" s="3"/>
    </row>
    <row r="1618" spans="2:15" ht="15.75">
      <c r="C1618" s="451" t="s">
        <v>87</v>
      </c>
      <c r="D1618" s="47"/>
      <c r="E1618" s="3"/>
      <c r="F1618" s="3"/>
      <c r="G1618" s="566"/>
      <c r="H1618" s="3" t="s">
        <v>66</v>
      </c>
      <c r="I1618" s="3"/>
      <c r="J1618" s="3"/>
      <c r="K1618" s="509" t="s">
        <v>91</v>
      </c>
      <c r="L1618" s="510"/>
      <c r="M1618" s="511"/>
      <c r="N1618" s="512">
        <f>IF(I1624=0,0,VLOOKUP(I1624,C1631:O1690,5))</f>
        <v>975169.23589963838</v>
      </c>
      <c r="O1618" s="3"/>
    </row>
    <row r="1619" spans="2:15" ht="15.75">
      <c r="C1619" s="451"/>
      <c r="D1619" s="47"/>
      <c r="E1619" s="3"/>
      <c r="F1619" s="3"/>
      <c r="G1619" s="3"/>
      <c r="H1619" s="513"/>
      <c r="I1619" s="513"/>
      <c r="J1619" s="514"/>
      <c r="K1619" s="515" t="s">
        <v>92</v>
      </c>
      <c r="L1619" s="516"/>
      <c r="M1619" s="3"/>
      <c r="N1619" s="517">
        <f>IF(I1624=0,0,VLOOKUP(I1624,C1631:O1690,6))</f>
        <v>975169.23589963838</v>
      </c>
      <c r="O1619" s="3"/>
    </row>
    <row r="1620" spans="2:15" ht="13.5" thickBot="1">
      <c r="C1620" s="518" t="s">
        <v>88</v>
      </c>
      <c r="D1620" s="1194" t="s">
        <v>821</v>
      </c>
      <c r="E1620" s="1194"/>
      <c r="F1620" s="1194"/>
      <c r="G1620" s="1194"/>
      <c r="H1620" s="1194"/>
      <c r="I1620" s="1194"/>
      <c r="J1620" s="503"/>
      <c r="K1620" s="519" t="s">
        <v>230</v>
      </c>
      <c r="L1620" s="520"/>
      <c r="M1620" s="520"/>
      <c r="N1620" s="521">
        <f>+N1619-N1618</f>
        <v>0</v>
      </c>
      <c r="O1620" s="3"/>
    </row>
    <row r="1621" spans="2:15">
      <c r="C1621" s="522"/>
      <c r="D1621" s="523"/>
      <c r="E1621" s="506"/>
      <c r="F1621" s="506"/>
      <c r="G1621" s="524"/>
      <c r="H1621" s="490"/>
      <c r="I1621" s="490"/>
      <c r="J1621" s="503"/>
      <c r="K1621" s="490"/>
      <c r="L1621" s="490"/>
      <c r="M1621" s="490"/>
      <c r="N1621" s="490"/>
      <c r="O1621" s="3"/>
    </row>
    <row r="1622" spans="2:15" ht="13.5" thickBot="1">
      <c r="C1622" s="522"/>
      <c r="D1622" s="3"/>
      <c r="E1622" s="524"/>
      <c r="F1622" s="524"/>
      <c r="G1622" s="524"/>
      <c r="H1622" s="524"/>
      <c r="I1622" s="524"/>
      <c r="J1622" s="524"/>
      <c r="K1622" s="524"/>
      <c r="L1622" s="524"/>
      <c r="M1622" s="524"/>
      <c r="N1622" s="524"/>
      <c r="O1622" s="3"/>
    </row>
    <row r="1623" spans="2:15" ht="13.5" thickBot="1">
      <c r="C1623" s="525" t="s">
        <v>89</v>
      </c>
      <c r="D1623" s="526"/>
      <c r="E1623" s="526"/>
      <c r="F1623" s="526"/>
      <c r="G1623" s="526"/>
      <c r="H1623" s="526"/>
      <c r="I1623" s="527"/>
      <c r="K1623" s="3"/>
      <c r="L1623" s="3"/>
      <c r="M1623" s="3"/>
      <c r="N1623" s="3"/>
      <c r="O1623" s="3"/>
    </row>
    <row r="1624" spans="2:15" ht="15">
      <c r="C1624" s="528" t="s">
        <v>67</v>
      </c>
      <c r="D1624" s="568">
        <v>7360771.7699999996</v>
      </c>
      <c r="E1624" s="3" t="s">
        <v>68</v>
      </c>
      <c r="G1624" s="47"/>
      <c r="H1624" s="47"/>
      <c r="I1624" s="529">
        <f>$L$26</f>
        <v>2026</v>
      </c>
      <c r="J1624" s="70"/>
      <c r="K1624" s="1193" t="s">
        <v>239</v>
      </c>
      <c r="L1624" s="1193"/>
      <c r="M1624" s="1193"/>
      <c r="N1624" s="1193"/>
      <c r="O1624" s="1193"/>
    </row>
    <row r="1625" spans="2:15">
      <c r="C1625" s="528" t="s">
        <v>70</v>
      </c>
      <c r="D1625" s="569">
        <v>2015</v>
      </c>
      <c r="E1625" s="528" t="s">
        <v>71</v>
      </c>
      <c r="F1625" s="47"/>
      <c r="H1625"/>
      <c r="I1625" s="570">
        <f>IF(G1618="",0,$F$17)</f>
        <v>0</v>
      </c>
      <c r="J1625" s="530"/>
      <c r="K1625" s="503" t="s">
        <v>239</v>
      </c>
    </row>
    <row r="1626" spans="2:15">
      <c r="C1626" s="528" t="s">
        <v>72</v>
      </c>
      <c r="D1626" s="568">
        <v>12</v>
      </c>
      <c r="E1626" s="528" t="s">
        <v>73</v>
      </c>
      <c r="F1626" s="47"/>
      <c r="H1626"/>
      <c r="I1626" s="531">
        <f>$G$70</f>
        <v>0.14912278949438812</v>
      </c>
      <c r="J1626" s="489"/>
      <c r="K1626" t="str">
        <f>"          INPUT PROJECTED ARR (WITH &amp; WITHOUT INCENTIVES) FROM EACH PRIOR YEAR"</f>
        <v xml:space="preserve">          INPUT PROJECTED ARR (WITH &amp; WITHOUT INCENTIVES) FROM EACH PRIOR YEAR</v>
      </c>
    </row>
    <row r="1627" spans="2:15">
      <c r="C1627" s="528" t="s">
        <v>74</v>
      </c>
      <c r="D1627" s="532">
        <f>$G$79</f>
        <v>34</v>
      </c>
      <c r="E1627" s="528" t="s">
        <v>75</v>
      </c>
      <c r="F1627" s="47"/>
      <c r="H1627"/>
      <c r="I1627" s="531">
        <f>IF(G1618="",I1626,$G$69)</f>
        <v>0.14912278949438812</v>
      </c>
      <c r="J1627" s="489"/>
      <c r="K1627" t="s">
        <v>152</v>
      </c>
    </row>
    <row r="1628" spans="2:15" ht="13.5" thickBot="1">
      <c r="C1628" s="528" t="s">
        <v>76</v>
      </c>
      <c r="D1628" s="567" t="s">
        <v>802</v>
      </c>
      <c r="E1628" s="533" t="s">
        <v>77</v>
      </c>
      <c r="F1628" s="534"/>
      <c r="G1628" s="535"/>
      <c r="H1628" s="535"/>
      <c r="I1628" s="521">
        <f>IF(D1624=0,0,D1624/D1627)</f>
        <v>216493.28735294117</v>
      </c>
      <c r="J1628" s="503"/>
      <c r="K1628" s="503" t="s">
        <v>158</v>
      </c>
      <c r="L1628" s="503"/>
      <c r="M1628" s="503"/>
      <c r="N1628" s="503"/>
      <c r="O1628" s="3"/>
    </row>
    <row r="1629" spans="2:15" ht="38.25">
      <c r="B1629" s="450"/>
      <c r="C1629" s="536" t="s">
        <v>67</v>
      </c>
      <c r="D1629" s="537" t="s">
        <v>78</v>
      </c>
      <c r="E1629" s="538" t="s">
        <v>79</v>
      </c>
      <c r="F1629" s="537" t="s">
        <v>80</v>
      </c>
      <c r="G1629" s="538" t="s">
        <v>151</v>
      </c>
      <c r="H1629" s="539" t="s">
        <v>151</v>
      </c>
      <c r="I1629" s="536" t="s">
        <v>90</v>
      </c>
      <c r="J1629" s="540"/>
      <c r="K1629" s="538" t="s">
        <v>160</v>
      </c>
      <c r="L1629" s="541"/>
      <c r="M1629" s="538" t="s">
        <v>160</v>
      </c>
      <c r="N1629" s="541"/>
      <c r="O1629" s="541"/>
    </row>
    <row r="1630" spans="2:15" ht="13.5" thickBot="1">
      <c r="C1630" s="542" t="s">
        <v>467</v>
      </c>
      <c r="D1630" s="543" t="s">
        <v>468</v>
      </c>
      <c r="E1630" s="542" t="s">
        <v>361</v>
      </c>
      <c r="F1630" s="543" t="s">
        <v>468</v>
      </c>
      <c r="G1630" s="544" t="s">
        <v>93</v>
      </c>
      <c r="H1630" s="545" t="s">
        <v>95</v>
      </c>
      <c r="I1630" s="542" t="s">
        <v>15</v>
      </c>
      <c r="J1630" s="546"/>
      <c r="K1630" s="544" t="s">
        <v>82</v>
      </c>
      <c r="L1630" s="547"/>
      <c r="M1630" s="544" t="s">
        <v>95</v>
      </c>
      <c r="N1630" s="547"/>
      <c r="O1630" s="547"/>
    </row>
    <row r="1631" spans="2:15">
      <c r="C1631" s="548">
        <f>IF(D1625= "","-",D1625)</f>
        <v>2015</v>
      </c>
      <c r="D1631" s="506">
        <f>+D1624</f>
        <v>7360771.7699999996</v>
      </c>
      <c r="E1631" s="549">
        <f>+I1628/12*(12-D1626)</f>
        <v>0</v>
      </c>
      <c r="F1631" s="506">
        <f>+D1631-E1631</f>
        <v>7360771.7699999996</v>
      </c>
      <c r="G1631" s="723">
        <f>+$I$96*((D1631+F1631)/2)+E1631</f>
        <v>1097658.8191739446</v>
      </c>
      <c r="H1631" s="724">
        <f>$I$97*((D1631+F1631)/2)+E1631</f>
        <v>1097658.8191739446</v>
      </c>
      <c r="I1631" s="552">
        <f>+H1631-G1631</f>
        <v>0</v>
      </c>
      <c r="J1631" s="552"/>
      <c r="K1631" s="571">
        <v>714472</v>
      </c>
      <c r="L1631" s="553"/>
      <c r="M1631" s="571">
        <v>714472</v>
      </c>
      <c r="N1631" s="553"/>
      <c r="O1631" s="553"/>
    </row>
    <row r="1632" spans="2:15">
      <c r="C1632" s="548">
        <f>IF(D1625="","-",+C1631+1)</f>
        <v>2016</v>
      </c>
      <c r="D1632" s="506">
        <f t="shared" ref="D1632:D1690" si="102">F1631</f>
        <v>7360771.7699999996</v>
      </c>
      <c r="E1632" s="549">
        <f>IF(D1632&gt;$I$1628,$I$1628,D1632)</f>
        <v>216493.28735294117</v>
      </c>
      <c r="F1632" s="506">
        <f t="shared" ref="F1632:F1690" si="103">+D1632-E1632</f>
        <v>7144278.4826470586</v>
      </c>
      <c r="G1632" s="554">
        <f t="shared" ref="G1632:G1690" si="104">+$I$96*((D1632+F1632)/2)+E1632</f>
        <v>1298010.0650684454</v>
      </c>
      <c r="H1632" s="555">
        <f t="shared" ref="H1632:H1690" si="105">$I$97*((D1632+F1632)/2)+E1632</f>
        <v>1298010.0650684454</v>
      </c>
      <c r="I1632" s="552">
        <f t="shared" ref="I1632:I1690" si="106">+H1632-G1632</f>
        <v>0</v>
      </c>
      <c r="J1632" s="552"/>
      <c r="K1632" s="572">
        <v>1030854</v>
      </c>
      <c r="L1632" s="556"/>
      <c r="M1632" s="572">
        <v>1030854</v>
      </c>
      <c r="N1632" s="556"/>
      <c r="O1632" s="556"/>
    </row>
    <row r="1633" spans="3:15">
      <c r="C1633" s="548">
        <f>IF(D1625="","-",+C1632+1)</f>
        <v>2017</v>
      </c>
      <c r="D1633" s="506">
        <f t="shared" si="102"/>
        <v>7144278.4826470586</v>
      </c>
      <c r="E1633" s="549">
        <f t="shared" ref="E1633:E1690" si="107">IF(D1633&gt;$I$1628,$I$1628,D1633)</f>
        <v>216493.28735294117</v>
      </c>
      <c r="F1633" s="506">
        <f t="shared" si="103"/>
        <v>6927785.1952941176</v>
      </c>
      <c r="G1633" s="554">
        <f t="shared" si="104"/>
        <v>1265725.9821515649</v>
      </c>
      <c r="H1633" s="555">
        <f t="shared" si="105"/>
        <v>1265725.9821515649</v>
      </c>
      <c r="I1633" s="552">
        <f t="shared" si="106"/>
        <v>0</v>
      </c>
      <c r="J1633" s="552"/>
      <c r="K1633" s="572">
        <v>1310546</v>
      </c>
      <c r="L1633" s="556"/>
      <c r="M1633" s="572">
        <v>1310546</v>
      </c>
      <c r="N1633" s="556"/>
      <c r="O1633" s="556"/>
    </row>
    <row r="1634" spans="3:15">
      <c r="C1634" s="974">
        <f>IF(D1625="","-",+C1633+1)</f>
        <v>2018</v>
      </c>
      <c r="D1634" s="506">
        <f t="shared" si="102"/>
        <v>6927785.1952941176</v>
      </c>
      <c r="E1634" s="549">
        <f t="shared" si="107"/>
        <v>216493.28735294117</v>
      </c>
      <c r="F1634" s="506">
        <f t="shared" si="103"/>
        <v>6711291.9079411766</v>
      </c>
      <c r="G1634" s="554">
        <f t="shared" si="104"/>
        <v>1233441.899234684</v>
      </c>
      <c r="H1634" s="555">
        <f t="shared" si="105"/>
        <v>1233441.899234684</v>
      </c>
      <c r="I1634" s="552">
        <f t="shared" si="106"/>
        <v>0</v>
      </c>
      <c r="J1634" s="552"/>
      <c r="K1634" s="572">
        <v>1148932</v>
      </c>
      <c r="L1634" s="556"/>
      <c r="M1634" s="572">
        <v>1148932</v>
      </c>
      <c r="N1634" s="556"/>
      <c r="O1634" s="556"/>
    </row>
    <row r="1635" spans="3:15">
      <c r="C1635" s="974">
        <f>IF(D1625="","-",+C1634+1)</f>
        <v>2019</v>
      </c>
      <c r="D1635" s="506">
        <f t="shared" si="102"/>
        <v>6711291.9079411766</v>
      </c>
      <c r="E1635" s="549">
        <f t="shared" si="107"/>
        <v>216493.28735294117</v>
      </c>
      <c r="F1635" s="506">
        <f t="shared" si="103"/>
        <v>6494798.6205882356</v>
      </c>
      <c r="G1635" s="554">
        <f t="shared" si="104"/>
        <v>1201157.8163178035</v>
      </c>
      <c r="H1635" s="555">
        <f t="shared" si="105"/>
        <v>1201157.8163178035</v>
      </c>
      <c r="I1635" s="552">
        <f t="shared" si="106"/>
        <v>0</v>
      </c>
      <c r="J1635" s="552"/>
      <c r="K1635" s="572">
        <v>1177104.8816136313</v>
      </c>
      <c r="L1635" s="556"/>
      <c r="M1635" s="572">
        <v>1177104.8816136313</v>
      </c>
      <c r="N1635" s="556"/>
      <c r="O1635" s="556"/>
    </row>
    <row r="1636" spans="3:15">
      <c r="C1636" s="974">
        <f>IF(D1625="","-",+C1635+1)</f>
        <v>2020</v>
      </c>
      <c r="D1636" s="506">
        <f t="shared" si="102"/>
        <v>6494798.6205882356</v>
      </c>
      <c r="E1636" s="549">
        <f t="shared" si="107"/>
        <v>216493.28735294117</v>
      </c>
      <c r="F1636" s="506">
        <f t="shared" si="103"/>
        <v>6278305.3332352946</v>
      </c>
      <c r="G1636" s="554">
        <f t="shared" si="104"/>
        <v>1168873.7334009225</v>
      </c>
      <c r="H1636" s="555">
        <f t="shared" si="105"/>
        <v>1168873.7334009225</v>
      </c>
      <c r="I1636" s="552">
        <f t="shared" si="106"/>
        <v>0</v>
      </c>
      <c r="J1636" s="552"/>
      <c r="K1636" s="572">
        <v>1235701.1740818801</v>
      </c>
      <c r="L1636" s="556"/>
      <c r="M1636" s="572">
        <v>1235701.1740818801</v>
      </c>
      <c r="N1636" s="556"/>
      <c r="O1636" s="556"/>
    </row>
    <row r="1637" spans="3:15">
      <c r="C1637" s="974">
        <f>IF(D1625="","-",+C1636+1)</f>
        <v>2021</v>
      </c>
      <c r="D1637" s="506">
        <f t="shared" si="102"/>
        <v>6278305.3332352946</v>
      </c>
      <c r="E1637" s="549">
        <f t="shared" si="107"/>
        <v>216493.28735294117</v>
      </c>
      <c r="F1637" s="506">
        <f t="shared" si="103"/>
        <v>6061812.0458823536</v>
      </c>
      <c r="G1637" s="554">
        <f t="shared" si="104"/>
        <v>1136589.650484042</v>
      </c>
      <c r="H1637" s="555">
        <f t="shared" si="105"/>
        <v>1136589.650484042</v>
      </c>
      <c r="I1637" s="552">
        <f t="shared" si="106"/>
        <v>0</v>
      </c>
      <c r="J1637" s="552"/>
      <c r="K1637" s="572">
        <v>1119347.2018189959</v>
      </c>
      <c r="L1637" s="556"/>
      <c r="M1637" s="572">
        <v>1119347.2018189959</v>
      </c>
      <c r="N1637" s="556"/>
      <c r="O1637" s="556"/>
    </row>
    <row r="1638" spans="3:15">
      <c r="C1638" s="974">
        <f>IF(D1625="","-",+C1637+1)</f>
        <v>2022</v>
      </c>
      <c r="D1638" s="506">
        <f t="shared" si="102"/>
        <v>6061812.0458823536</v>
      </c>
      <c r="E1638" s="549">
        <f t="shared" si="107"/>
        <v>216493.28735294117</v>
      </c>
      <c r="F1638" s="506">
        <f t="shared" si="103"/>
        <v>5845318.7585294126</v>
      </c>
      <c r="G1638" s="554">
        <f t="shared" si="104"/>
        <v>1104305.5675671611</v>
      </c>
      <c r="H1638" s="555">
        <f t="shared" si="105"/>
        <v>1104305.5675671611</v>
      </c>
      <c r="I1638" s="552">
        <f t="shared" si="106"/>
        <v>0</v>
      </c>
      <c r="J1638" s="552"/>
      <c r="K1638" s="572">
        <v>1119410.2337898356</v>
      </c>
      <c r="L1638" s="556"/>
      <c r="M1638" s="572">
        <v>1119410.2337898356</v>
      </c>
      <c r="N1638" s="556"/>
      <c r="O1638" s="556"/>
    </row>
    <row r="1639" spans="3:15">
      <c r="C1639" s="974">
        <f>IF(D1625="","-",+C1638+1)</f>
        <v>2023</v>
      </c>
      <c r="D1639" s="506">
        <f t="shared" si="102"/>
        <v>5845318.7585294126</v>
      </c>
      <c r="E1639" s="549">
        <f t="shared" si="107"/>
        <v>216493.28735294117</v>
      </c>
      <c r="F1639" s="506">
        <f t="shared" si="103"/>
        <v>5628825.4711764716</v>
      </c>
      <c r="G1639" s="554">
        <f t="shared" si="104"/>
        <v>1072021.4846502806</v>
      </c>
      <c r="H1639" s="555">
        <f t="shared" si="105"/>
        <v>1072021.4846502806</v>
      </c>
      <c r="I1639" s="552">
        <f t="shared" si="106"/>
        <v>0</v>
      </c>
      <c r="J1639" s="552"/>
      <c r="K1639" s="572">
        <v>1092701.1742280044</v>
      </c>
      <c r="L1639" s="556"/>
      <c r="M1639" s="572">
        <v>1092701.1742280044</v>
      </c>
      <c r="N1639" s="556"/>
      <c r="O1639" s="556"/>
    </row>
    <row r="1640" spans="3:15">
      <c r="C1640" s="548">
        <f>IF(D1625="","-",+C1639+1)</f>
        <v>2024</v>
      </c>
      <c r="D1640" s="506">
        <f t="shared" si="102"/>
        <v>5628825.4711764716</v>
      </c>
      <c r="E1640" s="549">
        <f t="shared" si="107"/>
        <v>216493.28735294117</v>
      </c>
      <c r="F1640" s="506">
        <f t="shared" si="103"/>
        <v>5412332.1838235306</v>
      </c>
      <c r="G1640" s="554">
        <f t="shared" si="104"/>
        <v>1039737.4017333998</v>
      </c>
      <c r="H1640" s="555">
        <f t="shared" si="105"/>
        <v>1039737.4017333998</v>
      </c>
      <c r="I1640" s="552">
        <f t="shared" si="106"/>
        <v>0</v>
      </c>
      <c r="J1640" s="552"/>
      <c r="K1640" s="572">
        <v>1044349.5738534092</v>
      </c>
      <c r="L1640" s="556"/>
      <c r="M1640" s="572">
        <v>1044349.5738534092</v>
      </c>
      <c r="N1640" s="556"/>
      <c r="O1640" s="556"/>
    </row>
    <row r="1641" spans="3:15">
      <c r="C1641" s="548">
        <f>IF(D1625="","-",+C1640+1)</f>
        <v>2025</v>
      </c>
      <c r="D1641" s="506">
        <f t="shared" si="102"/>
        <v>5412332.1838235306</v>
      </c>
      <c r="E1641" s="549">
        <f t="shared" si="107"/>
        <v>216493.28735294117</v>
      </c>
      <c r="F1641" s="506">
        <f t="shared" si="103"/>
        <v>5195838.8964705896</v>
      </c>
      <c r="G1641" s="554">
        <f t="shared" si="104"/>
        <v>1007453.3188165191</v>
      </c>
      <c r="H1641" s="555">
        <f t="shared" si="105"/>
        <v>1007453.3188165191</v>
      </c>
      <c r="I1641" s="552">
        <f t="shared" si="106"/>
        <v>0</v>
      </c>
      <c r="J1641" s="552"/>
      <c r="K1641" s="572">
        <v>1009847.204968014</v>
      </c>
      <c r="L1641" s="556"/>
      <c r="M1641" s="572">
        <v>1009847.204968014</v>
      </c>
      <c r="N1641" s="556"/>
      <c r="O1641" s="556"/>
    </row>
    <row r="1642" spans="3:15">
      <c r="C1642" s="955">
        <f>IF(D1625="","-",+C1641+1)</f>
        <v>2026</v>
      </c>
      <c r="D1642" s="506">
        <f t="shared" si="102"/>
        <v>5195838.8964705896</v>
      </c>
      <c r="E1642" s="549">
        <f t="shared" si="107"/>
        <v>216493.28735294117</v>
      </c>
      <c r="F1642" s="506">
        <f t="shared" si="103"/>
        <v>4979345.6091176486</v>
      </c>
      <c r="G1642" s="554">
        <f t="shared" si="104"/>
        <v>975169.23589963838</v>
      </c>
      <c r="H1642" s="555">
        <f t="shared" si="105"/>
        <v>975169.23589963838</v>
      </c>
      <c r="I1642" s="552">
        <f t="shared" si="106"/>
        <v>0</v>
      </c>
      <c r="J1642" s="552"/>
      <c r="K1642" s="572"/>
      <c r="L1642" s="556"/>
      <c r="M1642" s="572"/>
      <c r="N1642" s="556"/>
      <c r="O1642" s="556"/>
    </row>
    <row r="1643" spans="3:15">
      <c r="C1643" s="548">
        <f>IF(D1625="","-",+C1642+1)</f>
        <v>2027</v>
      </c>
      <c r="D1643" s="506">
        <f t="shared" si="102"/>
        <v>4979345.6091176486</v>
      </c>
      <c r="E1643" s="549">
        <f t="shared" si="107"/>
        <v>216493.28735294117</v>
      </c>
      <c r="F1643" s="506">
        <f t="shared" si="103"/>
        <v>4762852.3217647076</v>
      </c>
      <c r="G1643" s="554">
        <f t="shared" si="104"/>
        <v>942885.15298275789</v>
      </c>
      <c r="H1643" s="555">
        <f t="shared" si="105"/>
        <v>942885.15298275789</v>
      </c>
      <c r="I1643" s="552">
        <f t="shared" si="106"/>
        <v>0</v>
      </c>
      <c r="J1643" s="552"/>
      <c r="K1643" s="572"/>
      <c r="L1643" s="556"/>
      <c r="M1643" s="572"/>
      <c r="N1643" s="557"/>
      <c r="O1643" s="556"/>
    </row>
    <row r="1644" spans="3:15">
      <c r="C1644" s="548">
        <f>IF(D1625="","-",+C1643+1)</f>
        <v>2028</v>
      </c>
      <c r="D1644" s="506">
        <f t="shared" si="102"/>
        <v>4762852.3217647076</v>
      </c>
      <c r="E1644" s="549">
        <f t="shared" si="107"/>
        <v>216493.28735294117</v>
      </c>
      <c r="F1644" s="506">
        <f t="shared" si="103"/>
        <v>4546359.0344117666</v>
      </c>
      <c r="G1644" s="554">
        <f t="shared" si="104"/>
        <v>910601.07006587693</v>
      </c>
      <c r="H1644" s="555">
        <f t="shared" si="105"/>
        <v>910601.07006587693</v>
      </c>
      <c r="I1644" s="552">
        <f t="shared" si="106"/>
        <v>0</v>
      </c>
      <c r="J1644" s="552"/>
      <c r="K1644" s="572"/>
      <c r="L1644" s="556"/>
      <c r="M1644" s="572"/>
      <c r="N1644" s="556"/>
      <c r="O1644" s="556"/>
    </row>
    <row r="1645" spans="3:15">
      <c r="C1645" s="548">
        <f>IF(D1625="","-",+C1644+1)</f>
        <v>2029</v>
      </c>
      <c r="D1645" s="506">
        <f t="shared" si="102"/>
        <v>4546359.0344117666</v>
      </c>
      <c r="E1645" s="549">
        <f t="shared" si="107"/>
        <v>216493.28735294117</v>
      </c>
      <c r="F1645" s="506">
        <f t="shared" si="103"/>
        <v>4329865.7470588256</v>
      </c>
      <c r="G1645" s="554">
        <f t="shared" si="104"/>
        <v>878316.98714899644</v>
      </c>
      <c r="H1645" s="555">
        <f t="shared" si="105"/>
        <v>878316.98714899644</v>
      </c>
      <c r="I1645" s="552">
        <f t="shared" si="106"/>
        <v>0</v>
      </c>
      <c r="J1645" s="552"/>
      <c r="K1645" s="572"/>
      <c r="L1645" s="556"/>
      <c r="M1645" s="572"/>
      <c r="N1645" s="556"/>
      <c r="O1645" s="556"/>
    </row>
    <row r="1646" spans="3:15">
      <c r="C1646" s="548">
        <f>IF(D1625="","-",+C1645+1)</f>
        <v>2030</v>
      </c>
      <c r="D1646" s="506">
        <f t="shared" si="102"/>
        <v>4329865.7470588256</v>
      </c>
      <c r="E1646" s="549">
        <f t="shared" si="107"/>
        <v>216493.28735294117</v>
      </c>
      <c r="F1646" s="506">
        <f t="shared" si="103"/>
        <v>4113372.4597058846</v>
      </c>
      <c r="G1646" s="554">
        <f t="shared" si="104"/>
        <v>846032.90423211548</v>
      </c>
      <c r="H1646" s="555">
        <f t="shared" si="105"/>
        <v>846032.90423211548</v>
      </c>
      <c r="I1646" s="552">
        <f t="shared" si="106"/>
        <v>0</v>
      </c>
      <c r="J1646" s="552"/>
      <c r="K1646" s="572"/>
      <c r="L1646" s="556"/>
      <c r="M1646" s="572"/>
      <c r="N1646" s="556"/>
      <c r="O1646" s="556"/>
    </row>
    <row r="1647" spans="3:15">
      <c r="C1647" s="548">
        <f>IF(D1625="","-",+C1646+1)</f>
        <v>2031</v>
      </c>
      <c r="D1647" s="506">
        <f t="shared" si="102"/>
        <v>4113372.4597058846</v>
      </c>
      <c r="E1647" s="549">
        <f t="shared" si="107"/>
        <v>216493.28735294117</v>
      </c>
      <c r="F1647" s="506">
        <f t="shared" si="103"/>
        <v>3896879.1723529436</v>
      </c>
      <c r="G1647" s="554">
        <f t="shared" si="104"/>
        <v>813748.82131523499</v>
      </c>
      <c r="H1647" s="555">
        <f t="shared" si="105"/>
        <v>813748.82131523499</v>
      </c>
      <c r="I1647" s="552">
        <f t="shared" si="106"/>
        <v>0</v>
      </c>
      <c r="J1647" s="552"/>
      <c r="K1647" s="572"/>
      <c r="L1647" s="556"/>
      <c r="M1647" s="572"/>
      <c r="N1647" s="556"/>
      <c r="O1647" s="556"/>
    </row>
    <row r="1648" spans="3:15">
      <c r="C1648" s="548">
        <f>IF(D1625="","-",+C1647+1)</f>
        <v>2032</v>
      </c>
      <c r="D1648" s="506">
        <f t="shared" si="102"/>
        <v>3896879.1723529436</v>
      </c>
      <c r="E1648" s="549">
        <f t="shared" si="107"/>
        <v>216493.28735294117</v>
      </c>
      <c r="F1648" s="506">
        <f t="shared" si="103"/>
        <v>3680385.8850000026</v>
      </c>
      <c r="G1648" s="554">
        <f t="shared" si="104"/>
        <v>781464.73839835427</v>
      </c>
      <c r="H1648" s="555">
        <f t="shared" si="105"/>
        <v>781464.73839835427</v>
      </c>
      <c r="I1648" s="552">
        <f t="shared" si="106"/>
        <v>0</v>
      </c>
      <c r="J1648" s="552"/>
      <c r="K1648" s="572"/>
      <c r="L1648" s="556"/>
      <c r="M1648" s="572"/>
      <c r="N1648" s="556"/>
      <c r="O1648" s="556"/>
    </row>
    <row r="1649" spans="3:15">
      <c r="C1649" s="548">
        <f>IF(D1625="","-",+C1648+1)</f>
        <v>2033</v>
      </c>
      <c r="D1649" s="506">
        <f t="shared" si="102"/>
        <v>3680385.8850000026</v>
      </c>
      <c r="E1649" s="549">
        <f t="shared" si="107"/>
        <v>216493.28735294117</v>
      </c>
      <c r="F1649" s="506">
        <f t="shared" si="103"/>
        <v>3463892.5976470616</v>
      </c>
      <c r="G1649" s="554">
        <f t="shared" si="104"/>
        <v>749180.65548147354</v>
      </c>
      <c r="H1649" s="555">
        <f t="shared" si="105"/>
        <v>749180.65548147354</v>
      </c>
      <c r="I1649" s="552">
        <f t="shared" si="106"/>
        <v>0</v>
      </c>
      <c r="J1649" s="552"/>
      <c r="K1649" s="572"/>
      <c r="L1649" s="556"/>
      <c r="M1649" s="572"/>
      <c r="N1649" s="556"/>
      <c r="O1649" s="556"/>
    </row>
    <row r="1650" spans="3:15">
      <c r="C1650" s="548">
        <f>IF(D1625="","-",+C1649+1)</f>
        <v>2034</v>
      </c>
      <c r="D1650" s="506">
        <f t="shared" si="102"/>
        <v>3463892.5976470616</v>
      </c>
      <c r="E1650" s="549">
        <f t="shared" si="107"/>
        <v>216493.28735294117</v>
      </c>
      <c r="F1650" s="506">
        <f t="shared" si="103"/>
        <v>3247399.3102941206</v>
      </c>
      <c r="G1650" s="554">
        <f t="shared" si="104"/>
        <v>716896.57256459282</v>
      </c>
      <c r="H1650" s="555">
        <f t="shared" si="105"/>
        <v>716896.57256459282</v>
      </c>
      <c r="I1650" s="552">
        <f t="shared" si="106"/>
        <v>0</v>
      </c>
      <c r="J1650" s="552"/>
      <c r="K1650" s="572"/>
      <c r="L1650" s="556"/>
      <c r="M1650" s="572"/>
      <c r="N1650" s="556"/>
      <c r="O1650" s="556"/>
    </row>
    <row r="1651" spans="3:15">
      <c r="C1651" s="548">
        <f>IF(D1625="","-",+C1650+1)</f>
        <v>2035</v>
      </c>
      <c r="D1651" s="506">
        <f t="shared" si="102"/>
        <v>3247399.3102941206</v>
      </c>
      <c r="E1651" s="549">
        <f t="shared" si="107"/>
        <v>216493.28735294117</v>
      </c>
      <c r="F1651" s="506">
        <f t="shared" si="103"/>
        <v>3030906.0229411796</v>
      </c>
      <c r="G1651" s="554">
        <f t="shared" si="104"/>
        <v>684612.48964771209</v>
      </c>
      <c r="H1651" s="555">
        <f t="shared" si="105"/>
        <v>684612.48964771209</v>
      </c>
      <c r="I1651" s="552">
        <f t="shared" si="106"/>
        <v>0</v>
      </c>
      <c r="J1651" s="552"/>
      <c r="K1651" s="572"/>
      <c r="L1651" s="556"/>
      <c r="M1651" s="572"/>
      <c r="N1651" s="556"/>
      <c r="O1651" s="556"/>
    </row>
    <row r="1652" spans="3:15">
      <c r="C1652" s="548">
        <f>IF(D1625="","-",+C1651+1)</f>
        <v>2036</v>
      </c>
      <c r="D1652" s="506">
        <f t="shared" si="102"/>
        <v>3030906.0229411796</v>
      </c>
      <c r="E1652" s="549">
        <f t="shared" si="107"/>
        <v>216493.28735294117</v>
      </c>
      <c r="F1652" s="506">
        <f t="shared" si="103"/>
        <v>2814412.7355882386</v>
      </c>
      <c r="G1652" s="554">
        <f t="shared" si="104"/>
        <v>652328.40673083137</v>
      </c>
      <c r="H1652" s="555">
        <f t="shared" si="105"/>
        <v>652328.40673083137</v>
      </c>
      <c r="I1652" s="552">
        <f t="shared" si="106"/>
        <v>0</v>
      </c>
      <c r="J1652" s="552"/>
      <c r="K1652" s="572"/>
      <c r="L1652" s="556"/>
      <c r="M1652" s="572"/>
      <c r="N1652" s="556"/>
      <c r="O1652" s="556"/>
    </row>
    <row r="1653" spans="3:15">
      <c r="C1653" s="548">
        <f>IF(D1625="","-",+C1652+1)</f>
        <v>2037</v>
      </c>
      <c r="D1653" s="506">
        <f t="shared" si="102"/>
        <v>2814412.7355882386</v>
      </c>
      <c r="E1653" s="549">
        <f t="shared" si="107"/>
        <v>216493.28735294117</v>
      </c>
      <c r="F1653" s="506">
        <f t="shared" si="103"/>
        <v>2597919.4482352976</v>
      </c>
      <c r="G1653" s="554">
        <f t="shared" si="104"/>
        <v>620044.32381395076</v>
      </c>
      <c r="H1653" s="555">
        <f t="shared" si="105"/>
        <v>620044.32381395076</v>
      </c>
      <c r="I1653" s="552">
        <f t="shared" si="106"/>
        <v>0</v>
      </c>
      <c r="J1653" s="552"/>
      <c r="K1653" s="572"/>
      <c r="L1653" s="556"/>
      <c r="M1653" s="572"/>
      <c r="N1653" s="556"/>
      <c r="O1653" s="556"/>
    </row>
    <row r="1654" spans="3:15">
      <c r="C1654" s="548">
        <f>IF(D1625="","-",+C1653+1)</f>
        <v>2038</v>
      </c>
      <c r="D1654" s="506">
        <f t="shared" si="102"/>
        <v>2597919.4482352976</v>
      </c>
      <c r="E1654" s="549">
        <f t="shared" si="107"/>
        <v>216493.28735294117</v>
      </c>
      <c r="F1654" s="506">
        <f t="shared" si="103"/>
        <v>2381426.1608823566</v>
      </c>
      <c r="G1654" s="554">
        <f t="shared" si="104"/>
        <v>587760.24089707003</v>
      </c>
      <c r="H1654" s="555">
        <f t="shared" si="105"/>
        <v>587760.24089707003</v>
      </c>
      <c r="I1654" s="552">
        <f t="shared" si="106"/>
        <v>0</v>
      </c>
      <c r="J1654" s="552"/>
      <c r="K1654" s="572"/>
      <c r="L1654" s="556"/>
      <c r="M1654" s="572"/>
      <c r="N1654" s="556"/>
      <c r="O1654" s="556"/>
    </row>
    <row r="1655" spans="3:15">
      <c r="C1655" s="548">
        <f>IF(D1625="","-",+C1654+1)</f>
        <v>2039</v>
      </c>
      <c r="D1655" s="506">
        <f t="shared" si="102"/>
        <v>2381426.1608823566</v>
      </c>
      <c r="E1655" s="549">
        <f t="shared" si="107"/>
        <v>216493.28735294117</v>
      </c>
      <c r="F1655" s="506">
        <f t="shared" si="103"/>
        <v>2164932.8735294156</v>
      </c>
      <c r="G1655" s="554">
        <f t="shared" si="104"/>
        <v>555476.15798018943</v>
      </c>
      <c r="H1655" s="555">
        <f t="shared" si="105"/>
        <v>555476.15798018943</v>
      </c>
      <c r="I1655" s="552">
        <f t="shared" si="106"/>
        <v>0</v>
      </c>
      <c r="J1655" s="552"/>
      <c r="K1655" s="572"/>
      <c r="L1655" s="556"/>
      <c r="M1655" s="572"/>
      <c r="N1655" s="556"/>
      <c r="O1655" s="556"/>
    </row>
    <row r="1656" spans="3:15">
      <c r="C1656" s="548">
        <f>IF(D1625="","-",+C1655+1)</f>
        <v>2040</v>
      </c>
      <c r="D1656" s="506">
        <f t="shared" si="102"/>
        <v>2164932.8735294156</v>
      </c>
      <c r="E1656" s="549">
        <f t="shared" si="107"/>
        <v>216493.28735294117</v>
      </c>
      <c r="F1656" s="506">
        <f t="shared" si="103"/>
        <v>1948439.5861764743</v>
      </c>
      <c r="G1656" s="554">
        <f t="shared" si="104"/>
        <v>523192.07506330864</v>
      </c>
      <c r="H1656" s="555">
        <f t="shared" si="105"/>
        <v>523192.07506330864</v>
      </c>
      <c r="I1656" s="552">
        <f t="shared" si="106"/>
        <v>0</v>
      </c>
      <c r="J1656" s="552"/>
      <c r="K1656" s="572"/>
      <c r="L1656" s="556"/>
      <c r="M1656" s="572"/>
      <c r="N1656" s="556"/>
      <c r="O1656" s="556"/>
    </row>
    <row r="1657" spans="3:15">
      <c r="C1657" s="548">
        <f>IF(D1625="","-",+C1656+1)</f>
        <v>2041</v>
      </c>
      <c r="D1657" s="506">
        <f t="shared" si="102"/>
        <v>1948439.5861764743</v>
      </c>
      <c r="E1657" s="549">
        <f t="shared" si="107"/>
        <v>216493.28735294117</v>
      </c>
      <c r="F1657" s="506">
        <f t="shared" si="103"/>
        <v>1731946.2988235331</v>
      </c>
      <c r="G1657" s="554">
        <f t="shared" si="104"/>
        <v>490907.99214642786</v>
      </c>
      <c r="H1657" s="555">
        <f t="shared" si="105"/>
        <v>490907.99214642786</v>
      </c>
      <c r="I1657" s="552">
        <f t="shared" si="106"/>
        <v>0</v>
      </c>
      <c r="J1657" s="552"/>
      <c r="K1657" s="572"/>
      <c r="L1657" s="556"/>
      <c r="M1657" s="572"/>
      <c r="N1657" s="556"/>
      <c r="O1657" s="556"/>
    </row>
    <row r="1658" spans="3:15">
      <c r="C1658" s="548">
        <f>IF(D1625="","-",+C1657+1)</f>
        <v>2042</v>
      </c>
      <c r="D1658" s="506">
        <f t="shared" si="102"/>
        <v>1731946.2988235331</v>
      </c>
      <c r="E1658" s="549">
        <f t="shared" si="107"/>
        <v>216493.28735294117</v>
      </c>
      <c r="F1658" s="506">
        <f t="shared" si="103"/>
        <v>1515453.0114705919</v>
      </c>
      <c r="G1658" s="554">
        <f t="shared" si="104"/>
        <v>458623.90922954713</v>
      </c>
      <c r="H1658" s="555">
        <f t="shared" si="105"/>
        <v>458623.90922954713</v>
      </c>
      <c r="I1658" s="552">
        <f t="shared" si="106"/>
        <v>0</v>
      </c>
      <c r="J1658" s="552"/>
      <c r="K1658" s="572"/>
      <c r="L1658" s="556"/>
      <c r="M1658" s="572"/>
      <c r="N1658" s="556"/>
      <c r="O1658" s="556"/>
    </row>
    <row r="1659" spans="3:15">
      <c r="C1659" s="548">
        <f>IF(D1625="","-",+C1658+1)</f>
        <v>2043</v>
      </c>
      <c r="D1659" s="506">
        <f t="shared" si="102"/>
        <v>1515453.0114705919</v>
      </c>
      <c r="E1659" s="549">
        <f t="shared" si="107"/>
        <v>216493.28735294117</v>
      </c>
      <c r="F1659" s="506">
        <f t="shared" si="103"/>
        <v>1298959.7241176507</v>
      </c>
      <c r="G1659" s="550">
        <f t="shared" si="104"/>
        <v>426339.82631266641</v>
      </c>
      <c r="H1659" s="555">
        <f t="shared" si="105"/>
        <v>426339.82631266641</v>
      </c>
      <c r="I1659" s="552">
        <f t="shared" si="106"/>
        <v>0</v>
      </c>
      <c r="J1659" s="552"/>
      <c r="K1659" s="572"/>
      <c r="L1659" s="556"/>
      <c r="M1659" s="572"/>
      <c r="N1659" s="556"/>
      <c r="O1659" s="556"/>
    </row>
    <row r="1660" spans="3:15">
      <c r="C1660" s="548">
        <f>IF(D1625="","-",+C1659+1)</f>
        <v>2044</v>
      </c>
      <c r="D1660" s="506">
        <f t="shared" si="102"/>
        <v>1298959.7241176507</v>
      </c>
      <c r="E1660" s="549">
        <f t="shared" si="107"/>
        <v>216493.28735294117</v>
      </c>
      <c r="F1660" s="506">
        <f t="shared" si="103"/>
        <v>1082466.4367647094</v>
      </c>
      <c r="G1660" s="554">
        <f t="shared" si="104"/>
        <v>394055.74339578568</v>
      </c>
      <c r="H1660" s="555">
        <f t="shared" si="105"/>
        <v>394055.74339578568</v>
      </c>
      <c r="I1660" s="552">
        <f t="shared" si="106"/>
        <v>0</v>
      </c>
      <c r="J1660" s="552"/>
      <c r="K1660" s="572"/>
      <c r="L1660" s="556"/>
      <c r="M1660" s="572"/>
      <c r="N1660" s="556"/>
      <c r="O1660" s="556"/>
    </row>
    <row r="1661" spans="3:15">
      <c r="C1661" s="548">
        <f>IF(D1625="","-",+C1660+1)</f>
        <v>2045</v>
      </c>
      <c r="D1661" s="506">
        <f t="shared" si="102"/>
        <v>1082466.4367647094</v>
      </c>
      <c r="E1661" s="549">
        <f t="shared" si="107"/>
        <v>216493.28735294117</v>
      </c>
      <c r="F1661" s="506">
        <f t="shared" si="103"/>
        <v>865973.14941176819</v>
      </c>
      <c r="G1661" s="554">
        <f t="shared" si="104"/>
        <v>361771.66047890496</v>
      </c>
      <c r="H1661" s="555">
        <f t="shared" si="105"/>
        <v>361771.66047890496</v>
      </c>
      <c r="I1661" s="552">
        <f t="shared" si="106"/>
        <v>0</v>
      </c>
      <c r="J1661" s="552"/>
      <c r="K1661" s="572"/>
      <c r="L1661" s="556"/>
      <c r="M1661" s="572"/>
      <c r="N1661" s="556"/>
      <c r="O1661" s="556"/>
    </row>
    <row r="1662" spans="3:15">
      <c r="C1662" s="548">
        <f>IF(D1625="","-",+C1661+1)</f>
        <v>2046</v>
      </c>
      <c r="D1662" s="506">
        <f t="shared" si="102"/>
        <v>865973.14941176819</v>
      </c>
      <c r="E1662" s="549">
        <f t="shared" si="107"/>
        <v>216493.28735294117</v>
      </c>
      <c r="F1662" s="506">
        <f t="shared" si="103"/>
        <v>649479.86205882696</v>
      </c>
      <c r="G1662" s="554">
        <f t="shared" si="104"/>
        <v>329487.57756202423</v>
      </c>
      <c r="H1662" s="555">
        <f t="shared" si="105"/>
        <v>329487.57756202423</v>
      </c>
      <c r="I1662" s="552">
        <f t="shared" si="106"/>
        <v>0</v>
      </c>
      <c r="J1662" s="552"/>
      <c r="K1662" s="572"/>
      <c r="L1662" s="556"/>
      <c r="M1662" s="572"/>
      <c r="N1662" s="556"/>
      <c r="O1662" s="556"/>
    </row>
    <row r="1663" spans="3:15">
      <c r="C1663" s="548">
        <f>IF(D1625="","-",+C1662+1)</f>
        <v>2047</v>
      </c>
      <c r="D1663" s="506">
        <f t="shared" si="102"/>
        <v>649479.86205882696</v>
      </c>
      <c r="E1663" s="549">
        <f t="shared" si="107"/>
        <v>216493.28735294117</v>
      </c>
      <c r="F1663" s="506">
        <f t="shared" si="103"/>
        <v>432986.57470588578</v>
      </c>
      <c r="G1663" s="554">
        <f t="shared" si="104"/>
        <v>297203.49464514351</v>
      </c>
      <c r="H1663" s="555">
        <f t="shared" si="105"/>
        <v>297203.49464514351</v>
      </c>
      <c r="I1663" s="552">
        <f t="shared" si="106"/>
        <v>0</v>
      </c>
      <c r="J1663" s="552"/>
      <c r="K1663" s="572"/>
      <c r="L1663" s="556"/>
      <c r="M1663" s="572"/>
      <c r="N1663" s="556"/>
      <c r="O1663" s="556"/>
    </row>
    <row r="1664" spans="3:15">
      <c r="C1664" s="548">
        <f>IF(D1625="","-",+C1663+1)</f>
        <v>2048</v>
      </c>
      <c r="D1664" s="506">
        <f t="shared" si="102"/>
        <v>432986.57470588578</v>
      </c>
      <c r="E1664" s="549">
        <f t="shared" si="107"/>
        <v>216493.28735294117</v>
      </c>
      <c r="F1664" s="506">
        <f t="shared" si="103"/>
        <v>216493.28735294461</v>
      </c>
      <c r="G1664" s="554">
        <f t="shared" si="104"/>
        <v>264919.41172826278</v>
      </c>
      <c r="H1664" s="555">
        <f t="shared" si="105"/>
        <v>264919.41172826278</v>
      </c>
      <c r="I1664" s="552">
        <f t="shared" si="106"/>
        <v>0</v>
      </c>
      <c r="J1664" s="552"/>
      <c r="K1664" s="572"/>
      <c r="L1664" s="556"/>
      <c r="M1664" s="572"/>
      <c r="N1664" s="556"/>
      <c r="O1664" s="556"/>
    </row>
    <row r="1665" spans="3:15">
      <c r="C1665" s="548">
        <f>IF(D1625="","-",+C1664+1)</f>
        <v>2049</v>
      </c>
      <c r="D1665" s="506">
        <f t="shared" si="102"/>
        <v>216493.28735294461</v>
      </c>
      <c r="E1665" s="549">
        <f t="shared" si="107"/>
        <v>216493.28735294117</v>
      </c>
      <c r="F1665" s="506">
        <f t="shared" si="103"/>
        <v>3.434251993894577E-9</v>
      </c>
      <c r="G1665" s="554">
        <f t="shared" si="104"/>
        <v>232635.32881138206</v>
      </c>
      <c r="H1665" s="555">
        <f t="shared" si="105"/>
        <v>232635.32881138206</v>
      </c>
      <c r="I1665" s="552">
        <f t="shared" si="106"/>
        <v>0</v>
      </c>
      <c r="J1665" s="552"/>
      <c r="K1665" s="572"/>
      <c r="L1665" s="556"/>
      <c r="M1665" s="572"/>
      <c r="N1665" s="556"/>
      <c r="O1665" s="556"/>
    </row>
    <row r="1666" spans="3:15">
      <c r="C1666" s="548">
        <f>IF(D1625="","-",+C1665+1)</f>
        <v>2050</v>
      </c>
      <c r="D1666" s="506">
        <f t="shared" si="102"/>
        <v>3.434251993894577E-9</v>
      </c>
      <c r="E1666" s="549">
        <f t="shared" si="107"/>
        <v>3.434251993894577E-9</v>
      </c>
      <c r="F1666" s="506">
        <f t="shared" si="103"/>
        <v>0</v>
      </c>
      <c r="G1666" s="554">
        <f t="shared" si="104"/>
        <v>3.6903146124726888E-9</v>
      </c>
      <c r="H1666" s="555">
        <f t="shared" si="105"/>
        <v>3.6903146124726888E-9</v>
      </c>
      <c r="I1666" s="552">
        <f t="shared" si="106"/>
        <v>0</v>
      </c>
      <c r="J1666" s="552"/>
      <c r="K1666" s="572"/>
      <c r="L1666" s="556"/>
      <c r="M1666" s="572"/>
      <c r="N1666" s="556"/>
      <c r="O1666" s="556"/>
    </row>
    <row r="1667" spans="3:15">
      <c r="C1667" s="548">
        <f>IF(D1625="","-",+C1666+1)</f>
        <v>2051</v>
      </c>
      <c r="D1667" s="506">
        <f t="shared" ref="D1667:D1689" si="108">F1666</f>
        <v>0</v>
      </c>
      <c r="E1667" s="549">
        <f t="shared" ref="E1667:E1689" si="109">IF(D1667&gt;$I$1628,$I$1628,D1667)</f>
        <v>0</v>
      </c>
      <c r="F1667" s="506">
        <f t="shared" ref="F1667:F1689" si="110">+D1667-E1667</f>
        <v>0</v>
      </c>
      <c r="G1667" s="554">
        <f t="shared" ref="G1667:G1689" si="111">+$I$96*((D1667+F1667)/2)+E1667</f>
        <v>0</v>
      </c>
      <c r="H1667" s="555">
        <f t="shared" ref="H1667:H1689" si="112">$I$97*((D1667+F1667)/2)+E1667</f>
        <v>0</v>
      </c>
      <c r="I1667" s="552">
        <f t="shared" ref="I1667:I1689" si="113">+H1667-G1667</f>
        <v>0</v>
      </c>
      <c r="J1667" s="552"/>
      <c r="K1667" s="572"/>
      <c r="L1667" s="556"/>
      <c r="M1667" s="572"/>
      <c r="N1667" s="556"/>
      <c r="O1667" s="556"/>
    </row>
    <row r="1668" spans="3:15">
      <c r="C1668" s="548">
        <f>IF(D1625="","-",+C1667+1)</f>
        <v>2052</v>
      </c>
      <c r="D1668" s="506">
        <f t="shared" si="108"/>
        <v>0</v>
      </c>
      <c r="E1668" s="549">
        <f t="shared" si="109"/>
        <v>0</v>
      </c>
      <c r="F1668" s="506">
        <f t="shared" si="110"/>
        <v>0</v>
      </c>
      <c r="G1668" s="554">
        <f t="shared" si="111"/>
        <v>0</v>
      </c>
      <c r="H1668" s="555">
        <f t="shared" si="112"/>
        <v>0</v>
      </c>
      <c r="I1668" s="552">
        <f t="shared" si="113"/>
        <v>0</v>
      </c>
      <c r="J1668" s="552"/>
      <c r="K1668" s="572"/>
      <c r="L1668" s="556"/>
      <c r="M1668" s="572"/>
      <c r="N1668" s="556"/>
      <c r="O1668" s="556"/>
    </row>
    <row r="1669" spans="3:15">
      <c r="C1669" s="548">
        <f>IF(D1625="","-",+C1668+1)</f>
        <v>2053</v>
      </c>
      <c r="D1669" s="506">
        <f t="shared" si="108"/>
        <v>0</v>
      </c>
      <c r="E1669" s="549">
        <f t="shared" si="109"/>
        <v>0</v>
      </c>
      <c r="F1669" s="506">
        <f t="shared" si="110"/>
        <v>0</v>
      </c>
      <c r="G1669" s="554">
        <f t="shared" si="111"/>
        <v>0</v>
      </c>
      <c r="H1669" s="555">
        <f t="shared" si="112"/>
        <v>0</v>
      </c>
      <c r="I1669" s="552">
        <f t="shared" si="113"/>
        <v>0</v>
      </c>
      <c r="J1669" s="552"/>
      <c r="K1669" s="572"/>
      <c r="L1669" s="556"/>
      <c r="M1669" s="572"/>
      <c r="N1669" s="556"/>
      <c r="O1669" s="556"/>
    </row>
    <row r="1670" spans="3:15">
      <c r="C1670" s="548">
        <f>IF(D1625="","-",+C1669+1)</f>
        <v>2054</v>
      </c>
      <c r="D1670" s="506">
        <f t="shared" si="108"/>
        <v>0</v>
      </c>
      <c r="E1670" s="549">
        <f t="shared" si="109"/>
        <v>0</v>
      </c>
      <c r="F1670" s="506">
        <f t="shared" si="110"/>
        <v>0</v>
      </c>
      <c r="G1670" s="554">
        <f t="shared" si="111"/>
        <v>0</v>
      </c>
      <c r="H1670" s="555">
        <f t="shared" si="112"/>
        <v>0</v>
      </c>
      <c r="I1670" s="552">
        <f t="shared" si="113"/>
        <v>0</v>
      </c>
      <c r="J1670" s="552"/>
      <c r="K1670" s="572"/>
      <c r="L1670" s="556"/>
      <c r="M1670" s="572"/>
      <c r="N1670" s="556"/>
      <c r="O1670" s="556"/>
    </row>
    <row r="1671" spans="3:15">
      <c r="C1671" s="548">
        <f>IF(D1625="","-",+C1670+1)</f>
        <v>2055</v>
      </c>
      <c r="D1671" s="506">
        <f t="shared" si="108"/>
        <v>0</v>
      </c>
      <c r="E1671" s="549">
        <f t="shared" si="109"/>
        <v>0</v>
      </c>
      <c r="F1671" s="506">
        <f t="shared" si="110"/>
        <v>0</v>
      </c>
      <c r="G1671" s="554">
        <f t="shared" si="111"/>
        <v>0</v>
      </c>
      <c r="H1671" s="555">
        <f t="shared" si="112"/>
        <v>0</v>
      </c>
      <c r="I1671" s="552">
        <f t="shared" si="113"/>
        <v>0</v>
      </c>
      <c r="J1671" s="552"/>
      <c r="K1671" s="572"/>
      <c r="L1671" s="556"/>
      <c r="M1671" s="572"/>
      <c r="N1671" s="556"/>
      <c r="O1671" s="556"/>
    </row>
    <row r="1672" spans="3:15">
      <c r="C1672" s="548">
        <f>IF(D1625="","-",+C1671+1)</f>
        <v>2056</v>
      </c>
      <c r="D1672" s="506">
        <f t="shared" si="108"/>
        <v>0</v>
      </c>
      <c r="E1672" s="549">
        <f t="shared" si="109"/>
        <v>0</v>
      </c>
      <c r="F1672" s="506">
        <f t="shared" si="110"/>
        <v>0</v>
      </c>
      <c r="G1672" s="554">
        <f t="shared" si="111"/>
        <v>0</v>
      </c>
      <c r="H1672" s="555">
        <f t="shared" si="112"/>
        <v>0</v>
      </c>
      <c r="I1672" s="552">
        <f t="shared" si="113"/>
        <v>0</v>
      </c>
      <c r="J1672" s="552"/>
      <c r="K1672" s="572"/>
      <c r="L1672" s="556"/>
      <c r="M1672" s="572"/>
      <c r="N1672" s="556"/>
      <c r="O1672" s="556"/>
    </row>
    <row r="1673" spans="3:15">
      <c r="C1673" s="548">
        <f t="shared" ref="C1673" si="114">IF(D1630="","-",+C1672+1)</f>
        <v>2057</v>
      </c>
      <c r="D1673" s="506">
        <f t="shared" si="108"/>
        <v>0</v>
      </c>
      <c r="E1673" s="549">
        <f t="shared" si="109"/>
        <v>0</v>
      </c>
      <c r="F1673" s="506">
        <f t="shared" si="110"/>
        <v>0</v>
      </c>
      <c r="G1673" s="554">
        <f t="shared" si="111"/>
        <v>0</v>
      </c>
      <c r="H1673" s="555">
        <f t="shared" si="112"/>
        <v>0</v>
      </c>
      <c r="I1673" s="552">
        <f t="shared" si="113"/>
        <v>0</v>
      </c>
      <c r="J1673" s="552"/>
      <c r="K1673" s="572"/>
      <c r="L1673" s="556"/>
      <c r="M1673" s="572"/>
      <c r="N1673" s="556"/>
      <c r="O1673" s="556"/>
    </row>
    <row r="1674" spans="3:15">
      <c r="C1674" s="548">
        <f t="shared" ref="C1674" si="115">IF(D1630="","-",+C1673+1)</f>
        <v>2058</v>
      </c>
      <c r="D1674" s="506">
        <f t="shared" si="108"/>
        <v>0</v>
      </c>
      <c r="E1674" s="549">
        <f t="shared" si="109"/>
        <v>0</v>
      </c>
      <c r="F1674" s="506">
        <f t="shared" si="110"/>
        <v>0</v>
      </c>
      <c r="G1674" s="554">
        <f t="shared" si="111"/>
        <v>0</v>
      </c>
      <c r="H1674" s="555">
        <f t="shared" si="112"/>
        <v>0</v>
      </c>
      <c r="I1674" s="552">
        <f t="shared" si="113"/>
        <v>0</v>
      </c>
      <c r="J1674" s="552"/>
      <c r="K1674" s="572"/>
      <c r="L1674" s="556"/>
      <c r="M1674" s="572"/>
      <c r="N1674" s="556"/>
      <c r="O1674" s="556"/>
    </row>
    <row r="1675" spans="3:15">
      <c r="C1675" s="548">
        <f t="shared" ref="C1675" si="116">IF(D1630="","-",+C1674+1)</f>
        <v>2059</v>
      </c>
      <c r="D1675" s="506">
        <f t="shared" si="108"/>
        <v>0</v>
      </c>
      <c r="E1675" s="549">
        <f t="shared" si="109"/>
        <v>0</v>
      </c>
      <c r="F1675" s="506">
        <f t="shared" si="110"/>
        <v>0</v>
      </c>
      <c r="G1675" s="554">
        <f t="shared" si="111"/>
        <v>0</v>
      </c>
      <c r="H1675" s="555">
        <f t="shared" si="112"/>
        <v>0</v>
      </c>
      <c r="I1675" s="552">
        <f t="shared" si="113"/>
        <v>0</v>
      </c>
      <c r="J1675" s="552"/>
      <c r="K1675" s="572"/>
      <c r="L1675" s="556"/>
      <c r="M1675" s="572"/>
      <c r="N1675" s="556"/>
      <c r="O1675" s="556"/>
    </row>
    <row r="1676" spans="3:15">
      <c r="C1676" s="548">
        <f t="shared" ref="C1676" si="117">IF(D1630="","-",+C1675+1)</f>
        <v>2060</v>
      </c>
      <c r="D1676" s="506">
        <f t="shared" si="108"/>
        <v>0</v>
      </c>
      <c r="E1676" s="549">
        <f t="shared" si="109"/>
        <v>0</v>
      </c>
      <c r="F1676" s="506">
        <f t="shared" si="110"/>
        <v>0</v>
      </c>
      <c r="G1676" s="554">
        <f t="shared" si="111"/>
        <v>0</v>
      </c>
      <c r="H1676" s="555">
        <f t="shared" si="112"/>
        <v>0</v>
      </c>
      <c r="I1676" s="552">
        <f t="shared" si="113"/>
        <v>0</v>
      </c>
      <c r="J1676" s="552"/>
      <c r="K1676" s="572"/>
      <c r="L1676" s="556"/>
      <c r="M1676" s="572"/>
      <c r="N1676" s="556"/>
      <c r="O1676" s="556"/>
    </row>
    <row r="1677" spans="3:15">
      <c r="C1677" s="548">
        <f t="shared" ref="C1677" si="118">IF(D1630="","-",+C1676+1)</f>
        <v>2061</v>
      </c>
      <c r="D1677" s="506">
        <f t="shared" si="108"/>
        <v>0</v>
      </c>
      <c r="E1677" s="549">
        <f t="shared" si="109"/>
        <v>0</v>
      </c>
      <c r="F1677" s="506">
        <f t="shared" si="110"/>
        <v>0</v>
      </c>
      <c r="G1677" s="554">
        <f t="shared" si="111"/>
        <v>0</v>
      </c>
      <c r="H1677" s="555">
        <f t="shared" si="112"/>
        <v>0</v>
      </c>
      <c r="I1677" s="552">
        <f t="shared" si="113"/>
        <v>0</v>
      </c>
      <c r="J1677" s="552"/>
      <c r="K1677" s="572"/>
      <c r="L1677" s="556"/>
      <c r="M1677" s="572"/>
      <c r="N1677" s="556"/>
      <c r="O1677" s="556"/>
    </row>
    <row r="1678" spans="3:15">
      <c r="C1678" s="548">
        <f t="shared" ref="C1678" si="119">IF(D1635="","-",+C1677+1)</f>
        <v>2062</v>
      </c>
      <c r="D1678" s="506">
        <f t="shared" si="108"/>
        <v>0</v>
      </c>
      <c r="E1678" s="549">
        <f t="shared" si="109"/>
        <v>0</v>
      </c>
      <c r="F1678" s="506">
        <f t="shared" si="110"/>
        <v>0</v>
      </c>
      <c r="G1678" s="554">
        <f t="shared" si="111"/>
        <v>0</v>
      </c>
      <c r="H1678" s="555">
        <f t="shared" si="112"/>
        <v>0</v>
      </c>
      <c r="I1678" s="552">
        <f t="shared" si="113"/>
        <v>0</v>
      </c>
      <c r="J1678" s="552"/>
      <c r="K1678" s="572"/>
      <c r="L1678" s="556"/>
      <c r="M1678" s="572"/>
      <c r="N1678" s="556"/>
      <c r="O1678" s="556"/>
    </row>
    <row r="1679" spans="3:15">
      <c r="C1679" s="548">
        <f t="shared" ref="C1679" si="120">IF(D1635="","-",+C1678+1)</f>
        <v>2063</v>
      </c>
      <c r="D1679" s="506">
        <f t="shared" si="108"/>
        <v>0</v>
      </c>
      <c r="E1679" s="549">
        <f t="shared" si="109"/>
        <v>0</v>
      </c>
      <c r="F1679" s="506">
        <f t="shared" si="110"/>
        <v>0</v>
      </c>
      <c r="G1679" s="554">
        <f t="shared" si="111"/>
        <v>0</v>
      </c>
      <c r="H1679" s="555">
        <f t="shared" si="112"/>
        <v>0</v>
      </c>
      <c r="I1679" s="552">
        <f t="shared" si="113"/>
        <v>0</v>
      </c>
      <c r="J1679" s="552"/>
      <c r="K1679" s="572"/>
      <c r="L1679" s="556"/>
      <c r="M1679" s="572"/>
      <c r="N1679" s="556"/>
      <c r="O1679" s="556"/>
    </row>
    <row r="1680" spans="3:15">
      <c r="C1680" s="548">
        <f t="shared" ref="C1680" si="121">IF(D1635="","-",+C1679+1)</f>
        <v>2064</v>
      </c>
      <c r="D1680" s="506">
        <f t="shared" si="108"/>
        <v>0</v>
      </c>
      <c r="E1680" s="549">
        <f t="shared" si="109"/>
        <v>0</v>
      </c>
      <c r="F1680" s="506">
        <f t="shared" si="110"/>
        <v>0</v>
      </c>
      <c r="G1680" s="554">
        <f t="shared" si="111"/>
        <v>0</v>
      </c>
      <c r="H1680" s="555">
        <f t="shared" si="112"/>
        <v>0</v>
      </c>
      <c r="I1680" s="552">
        <f t="shared" si="113"/>
        <v>0</v>
      </c>
      <c r="J1680" s="552"/>
      <c r="K1680" s="572"/>
      <c r="L1680" s="556"/>
      <c r="M1680" s="572"/>
      <c r="N1680" s="556"/>
      <c r="O1680" s="556"/>
    </row>
    <row r="1681" spans="3:15">
      <c r="C1681" s="548">
        <f t="shared" ref="C1681" si="122">IF(D1635="","-",+C1680+1)</f>
        <v>2065</v>
      </c>
      <c r="D1681" s="506">
        <f t="shared" si="108"/>
        <v>0</v>
      </c>
      <c r="E1681" s="549">
        <f t="shared" si="109"/>
        <v>0</v>
      </c>
      <c r="F1681" s="506">
        <f t="shared" si="110"/>
        <v>0</v>
      </c>
      <c r="G1681" s="554">
        <f t="shared" si="111"/>
        <v>0</v>
      </c>
      <c r="H1681" s="555">
        <f t="shared" si="112"/>
        <v>0</v>
      </c>
      <c r="I1681" s="552">
        <f t="shared" si="113"/>
        <v>0</v>
      </c>
      <c r="J1681" s="552"/>
      <c r="K1681" s="572"/>
      <c r="L1681" s="556"/>
      <c r="M1681" s="572"/>
      <c r="N1681" s="556"/>
      <c r="O1681" s="556"/>
    </row>
    <row r="1682" spans="3:15">
      <c r="C1682" s="548">
        <f t="shared" ref="C1682" si="123">IF(D1635="","-",+C1681+1)</f>
        <v>2066</v>
      </c>
      <c r="D1682" s="506">
        <f t="shared" si="108"/>
        <v>0</v>
      </c>
      <c r="E1682" s="549">
        <f t="shared" si="109"/>
        <v>0</v>
      </c>
      <c r="F1682" s="506">
        <f t="shared" si="110"/>
        <v>0</v>
      </c>
      <c r="G1682" s="554">
        <f t="shared" si="111"/>
        <v>0</v>
      </c>
      <c r="H1682" s="555">
        <f t="shared" si="112"/>
        <v>0</v>
      </c>
      <c r="I1682" s="552">
        <f t="shared" si="113"/>
        <v>0</v>
      </c>
      <c r="J1682" s="552"/>
      <c r="K1682" s="572"/>
      <c r="L1682" s="556"/>
      <c r="M1682" s="572"/>
      <c r="N1682" s="556"/>
      <c r="O1682" s="556"/>
    </row>
    <row r="1683" spans="3:15">
      <c r="C1683" s="548">
        <f t="shared" ref="C1683" si="124">IF(D1640="","-",+C1682+1)</f>
        <v>2067</v>
      </c>
      <c r="D1683" s="506">
        <f t="shared" si="108"/>
        <v>0</v>
      </c>
      <c r="E1683" s="549">
        <f t="shared" si="109"/>
        <v>0</v>
      </c>
      <c r="F1683" s="506">
        <f t="shared" si="110"/>
        <v>0</v>
      </c>
      <c r="G1683" s="554">
        <f t="shared" si="111"/>
        <v>0</v>
      </c>
      <c r="H1683" s="555">
        <f t="shared" si="112"/>
        <v>0</v>
      </c>
      <c r="I1683" s="552">
        <f t="shared" si="113"/>
        <v>0</v>
      </c>
      <c r="J1683" s="552"/>
      <c r="K1683" s="572"/>
      <c r="L1683" s="556"/>
      <c r="M1683" s="572"/>
      <c r="N1683" s="556"/>
      <c r="O1683" s="556"/>
    </row>
    <row r="1684" spans="3:15">
      <c r="C1684" s="548">
        <f t="shared" ref="C1684" si="125">IF(D1640="","-",+C1683+1)</f>
        <v>2068</v>
      </c>
      <c r="D1684" s="506">
        <f t="shared" si="108"/>
        <v>0</v>
      </c>
      <c r="E1684" s="549">
        <f t="shared" si="109"/>
        <v>0</v>
      </c>
      <c r="F1684" s="506">
        <f t="shared" si="110"/>
        <v>0</v>
      </c>
      <c r="G1684" s="554">
        <f t="shared" si="111"/>
        <v>0</v>
      </c>
      <c r="H1684" s="555">
        <f t="shared" si="112"/>
        <v>0</v>
      </c>
      <c r="I1684" s="552">
        <f t="shared" si="113"/>
        <v>0</v>
      </c>
      <c r="J1684" s="552"/>
      <c r="K1684" s="572"/>
      <c r="L1684" s="556"/>
      <c r="M1684" s="572"/>
      <c r="N1684" s="556"/>
      <c r="O1684" s="556"/>
    </row>
    <row r="1685" spans="3:15">
      <c r="C1685" s="548">
        <f t="shared" ref="C1685" si="126">IF(D1640="","-",+C1684+1)</f>
        <v>2069</v>
      </c>
      <c r="D1685" s="506">
        <f t="shared" si="108"/>
        <v>0</v>
      </c>
      <c r="E1685" s="549">
        <f t="shared" si="109"/>
        <v>0</v>
      </c>
      <c r="F1685" s="506">
        <f t="shared" si="110"/>
        <v>0</v>
      </c>
      <c r="G1685" s="554">
        <f t="shared" si="111"/>
        <v>0</v>
      </c>
      <c r="H1685" s="555">
        <f t="shared" si="112"/>
        <v>0</v>
      </c>
      <c r="I1685" s="552">
        <f t="shared" si="113"/>
        <v>0</v>
      </c>
      <c r="J1685" s="552"/>
      <c r="K1685" s="572"/>
      <c r="L1685" s="556"/>
      <c r="M1685" s="572"/>
      <c r="N1685" s="556"/>
      <c r="O1685" s="556"/>
    </row>
    <row r="1686" spans="3:15">
      <c r="C1686" s="548">
        <f t="shared" ref="C1686" si="127">IF(D1640="","-",+C1685+1)</f>
        <v>2070</v>
      </c>
      <c r="D1686" s="506">
        <f t="shared" si="108"/>
        <v>0</v>
      </c>
      <c r="E1686" s="549">
        <f t="shared" si="109"/>
        <v>0</v>
      </c>
      <c r="F1686" s="506">
        <f t="shared" si="110"/>
        <v>0</v>
      </c>
      <c r="G1686" s="554">
        <f t="shared" si="111"/>
        <v>0</v>
      </c>
      <c r="H1686" s="555">
        <f t="shared" si="112"/>
        <v>0</v>
      </c>
      <c r="I1686" s="552">
        <f t="shared" si="113"/>
        <v>0</v>
      </c>
      <c r="J1686" s="552"/>
      <c r="K1686" s="572"/>
      <c r="L1686" s="556"/>
      <c r="M1686" s="572"/>
      <c r="N1686" s="556"/>
      <c r="O1686" s="556"/>
    </row>
    <row r="1687" spans="3:15">
      <c r="C1687" s="548">
        <f t="shared" ref="C1687" si="128">IF(D1640="","-",+C1686+1)</f>
        <v>2071</v>
      </c>
      <c r="D1687" s="506">
        <f t="shared" si="108"/>
        <v>0</v>
      </c>
      <c r="E1687" s="549">
        <f t="shared" si="109"/>
        <v>0</v>
      </c>
      <c r="F1687" s="506">
        <f t="shared" si="110"/>
        <v>0</v>
      </c>
      <c r="G1687" s="554">
        <f t="shared" si="111"/>
        <v>0</v>
      </c>
      <c r="H1687" s="555">
        <f t="shared" si="112"/>
        <v>0</v>
      </c>
      <c r="I1687" s="552">
        <f t="shared" si="113"/>
        <v>0</v>
      </c>
      <c r="J1687" s="552"/>
      <c r="K1687" s="572"/>
      <c r="L1687" s="556"/>
      <c r="M1687" s="572"/>
      <c r="N1687" s="556"/>
      <c r="O1687" s="556"/>
    </row>
    <row r="1688" spans="3:15">
      <c r="C1688" s="548">
        <f t="shared" ref="C1688" si="129">IF(D1645="","-",+C1687+1)</f>
        <v>2072</v>
      </c>
      <c r="D1688" s="506">
        <f t="shared" si="108"/>
        <v>0</v>
      </c>
      <c r="E1688" s="549">
        <f t="shared" si="109"/>
        <v>0</v>
      </c>
      <c r="F1688" s="506">
        <f t="shared" si="110"/>
        <v>0</v>
      </c>
      <c r="G1688" s="554">
        <f t="shared" si="111"/>
        <v>0</v>
      </c>
      <c r="H1688" s="555">
        <f t="shared" si="112"/>
        <v>0</v>
      </c>
      <c r="I1688" s="552">
        <f t="shared" si="113"/>
        <v>0</v>
      </c>
      <c r="J1688" s="552"/>
      <c r="K1688" s="572"/>
      <c r="L1688" s="556"/>
      <c r="M1688" s="572"/>
      <c r="N1688" s="556"/>
      <c r="O1688" s="556"/>
    </row>
    <row r="1689" spans="3:15">
      <c r="C1689" s="548">
        <f t="shared" ref="C1689" si="130">IF(D1645="","-",+C1688+1)</f>
        <v>2073</v>
      </c>
      <c r="D1689" s="506">
        <f t="shared" si="108"/>
        <v>0</v>
      </c>
      <c r="E1689" s="549">
        <f t="shared" si="109"/>
        <v>0</v>
      </c>
      <c r="F1689" s="506">
        <f t="shared" si="110"/>
        <v>0</v>
      </c>
      <c r="G1689" s="554">
        <f t="shared" si="111"/>
        <v>0</v>
      </c>
      <c r="H1689" s="555">
        <f t="shared" si="112"/>
        <v>0</v>
      </c>
      <c r="I1689" s="552">
        <f t="shared" si="113"/>
        <v>0</v>
      </c>
      <c r="J1689" s="552"/>
      <c r="K1689" s="572"/>
      <c r="L1689" s="556"/>
      <c r="M1689" s="572"/>
      <c r="N1689" s="556"/>
      <c r="O1689" s="556"/>
    </row>
    <row r="1690" spans="3:15" ht="13.5" thickBot="1">
      <c r="C1690" s="558">
        <f>IF(D1625="","-",+C1689+1)</f>
        <v>2074</v>
      </c>
      <c r="D1690" s="559">
        <f t="shared" si="102"/>
        <v>0</v>
      </c>
      <c r="E1690" s="560">
        <f t="shared" si="107"/>
        <v>0</v>
      </c>
      <c r="F1690" s="559">
        <f t="shared" si="103"/>
        <v>0</v>
      </c>
      <c r="G1690" s="561">
        <f t="shared" si="104"/>
        <v>0</v>
      </c>
      <c r="H1690" s="561">
        <f t="shared" si="105"/>
        <v>0</v>
      </c>
      <c r="I1690" s="562">
        <f t="shared" si="106"/>
        <v>0</v>
      </c>
      <c r="J1690" s="552"/>
      <c r="K1690" s="573"/>
      <c r="L1690" s="563"/>
      <c r="M1690" s="573"/>
      <c r="N1690" s="563"/>
      <c r="O1690" s="563"/>
    </row>
    <row r="1691" spans="3:15">
      <c r="C1691" s="506" t="s">
        <v>83</v>
      </c>
      <c r="D1691" s="503"/>
      <c r="E1691" s="503">
        <f>SUM(E1631:E1690)</f>
        <v>7360771.7699999996</v>
      </c>
      <c r="F1691" s="503"/>
      <c r="G1691" s="503">
        <f>SUM(G1631:G1690)</f>
        <v>27118630.515131019</v>
      </c>
      <c r="H1691" s="503">
        <f>SUM(H1631:H1690)</f>
        <v>27118630.515131019</v>
      </c>
      <c r="I1691" s="503">
        <f>SUM(I1631:I1690)</f>
        <v>0</v>
      </c>
      <c r="J1691" s="503"/>
      <c r="K1691" s="503"/>
      <c r="L1691" s="503"/>
      <c r="M1691" s="503"/>
      <c r="N1691" s="503"/>
      <c r="O1691" s="3"/>
    </row>
    <row r="1692" spans="3:15">
      <c r="D1692" s="47"/>
      <c r="E1692" s="3"/>
      <c r="F1692" s="3"/>
      <c r="G1692" s="3"/>
      <c r="H1692" s="490"/>
      <c r="I1692" s="490"/>
      <c r="J1692" s="503"/>
      <c r="K1692" s="490"/>
      <c r="L1692" s="490"/>
      <c r="M1692" s="490"/>
      <c r="N1692" s="490"/>
      <c r="O1692" s="3"/>
    </row>
    <row r="1693" spans="3:15">
      <c r="C1693" s="3" t="s">
        <v>13</v>
      </c>
      <c r="D1693" s="47"/>
      <c r="E1693" s="3"/>
      <c r="F1693" s="3"/>
      <c r="G1693" s="3"/>
      <c r="H1693" s="490"/>
      <c r="I1693" s="490"/>
      <c r="J1693" s="503"/>
      <c r="K1693" s="490"/>
      <c r="L1693" s="490"/>
      <c r="M1693" s="490"/>
      <c r="N1693" s="490"/>
      <c r="O1693" s="3"/>
    </row>
    <row r="1694" spans="3:15">
      <c r="C1694" s="3"/>
      <c r="D1694" s="47"/>
      <c r="E1694" s="3"/>
      <c r="F1694" s="3"/>
      <c r="G1694" s="3"/>
      <c r="H1694" s="490"/>
      <c r="I1694" s="490"/>
      <c r="J1694" s="503"/>
      <c r="K1694" s="490"/>
      <c r="L1694" s="490"/>
      <c r="M1694" s="490"/>
      <c r="N1694" s="490"/>
      <c r="O1694" s="3"/>
    </row>
    <row r="1695" spans="3:15">
      <c r="C1695" s="518" t="s">
        <v>14</v>
      </c>
      <c r="D1695" s="506"/>
      <c r="E1695" s="506"/>
      <c r="F1695" s="506"/>
      <c r="G1695" s="503"/>
      <c r="H1695" s="503"/>
      <c r="I1695" s="564"/>
      <c r="J1695" s="564"/>
      <c r="K1695" s="564"/>
      <c r="L1695" s="564"/>
      <c r="M1695" s="564"/>
      <c r="N1695" s="564"/>
      <c r="O1695" s="3"/>
    </row>
    <row r="1696" spans="3:15">
      <c r="C1696" s="507" t="s">
        <v>263</v>
      </c>
      <c r="D1696" s="506"/>
      <c r="E1696" s="506"/>
      <c r="F1696" s="506"/>
      <c r="G1696" s="503"/>
      <c r="H1696" s="503"/>
      <c r="I1696" s="564"/>
      <c r="J1696" s="564"/>
      <c r="K1696" s="564"/>
      <c r="L1696" s="564"/>
      <c r="M1696" s="564"/>
      <c r="N1696" s="564"/>
      <c r="O1696" s="3"/>
    </row>
    <row r="1697" spans="1:16">
      <c r="C1697" s="507" t="s">
        <v>84</v>
      </c>
      <c r="D1697" s="506"/>
      <c r="E1697" s="506"/>
      <c r="F1697" s="506"/>
      <c r="G1697" s="503"/>
      <c r="H1697" s="503"/>
      <c r="I1697" s="564"/>
      <c r="J1697" s="564"/>
      <c r="K1697" s="564"/>
      <c r="L1697" s="564"/>
      <c r="M1697" s="564"/>
      <c r="N1697" s="564"/>
      <c r="O1697" s="3"/>
    </row>
    <row r="1698" spans="1:16">
      <c r="C1698" s="507"/>
      <c r="D1698" s="506"/>
      <c r="E1698" s="506"/>
      <c r="F1698" s="506"/>
      <c r="G1698" s="503"/>
      <c r="H1698" s="503"/>
      <c r="I1698" s="564"/>
      <c r="J1698" s="564"/>
      <c r="K1698" s="564"/>
      <c r="L1698" s="564"/>
      <c r="M1698" s="564"/>
      <c r="N1698" s="564"/>
      <c r="O1698" s="3"/>
    </row>
    <row r="1699" spans="1:16">
      <c r="C1699" s="1200" t="s">
        <v>6</v>
      </c>
      <c r="D1699" s="1200"/>
      <c r="E1699" s="1200"/>
      <c r="F1699" s="1200"/>
      <c r="G1699" s="1200"/>
      <c r="H1699" s="1200"/>
      <c r="I1699" s="1200"/>
      <c r="J1699" s="1200"/>
      <c r="K1699" s="1200"/>
      <c r="L1699" s="1200"/>
      <c r="M1699" s="1200"/>
      <c r="N1699" s="1200"/>
      <c r="O1699" s="1200"/>
    </row>
    <row r="1700" spans="1:16">
      <c r="C1700" s="1200"/>
      <c r="D1700" s="1200"/>
      <c r="E1700" s="1200"/>
      <c r="F1700" s="1200"/>
      <c r="G1700" s="1200"/>
      <c r="H1700" s="1200"/>
      <c r="I1700" s="1200"/>
      <c r="J1700" s="1200"/>
      <c r="K1700" s="1200"/>
      <c r="L1700" s="1200"/>
      <c r="M1700" s="1200"/>
      <c r="N1700" s="1200"/>
      <c r="O1700" s="1200"/>
    </row>
    <row r="1701" spans="1:16">
      <c r="C1701" s="507"/>
      <c r="D1701" s="506"/>
      <c r="E1701" s="506"/>
      <c r="F1701" s="506"/>
      <c r="G1701" s="503"/>
      <c r="H1701" s="503"/>
    </row>
    <row r="1702" spans="1:16" ht="20.25">
      <c r="A1702" s="447" t="str">
        <f>""&amp;A1626&amp;" Worksheet J -  ATRR PROJECTED Calculation for PJM Projects Charged to Benefiting Zones"</f>
        <v xml:space="preserve"> Worksheet J -  ATRR PROJECTED Calculation for PJM Projects Charged to Benefiting Zones</v>
      </c>
      <c r="B1702" s="3"/>
      <c r="C1702" s="3"/>
      <c r="D1702" s="47"/>
      <c r="E1702" s="3"/>
      <c r="F1702" s="489"/>
      <c r="G1702" s="3"/>
      <c r="H1702" s="490"/>
      <c r="K1702" s="398"/>
      <c r="L1702" s="398"/>
      <c r="M1702" s="398"/>
      <c r="N1702" s="398" t="str">
        <f>"Page "&amp;SUM(P$8:P1702)&amp;" of "</f>
        <v xml:space="preserve">Page 20 of </v>
      </c>
      <c r="O1702" s="448">
        <f>COUNT(P$8:P$56653)</f>
        <v>23</v>
      </c>
      <c r="P1702">
        <v>1</v>
      </c>
    </row>
    <row r="1703" spans="1:16">
      <c r="B1703" s="3"/>
      <c r="C1703" s="3"/>
      <c r="D1703" s="47"/>
      <c r="E1703" s="3"/>
      <c r="F1703" s="3"/>
      <c r="G1703" s="3"/>
      <c r="H1703" s="490"/>
      <c r="I1703" s="3"/>
      <c r="J1703" s="3"/>
      <c r="K1703" s="3"/>
      <c r="L1703" s="3"/>
      <c r="M1703" s="3"/>
      <c r="N1703" s="3"/>
      <c r="O1703" s="3"/>
    </row>
    <row r="1704" spans="1:16" ht="18">
      <c r="B1704" s="449" t="s">
        <v>464</v>
      </c>
      <c r="C1704" s="122" t="s">
        <v>85</v>
      </c>
      <c r="D1704" s="47"/>
      <c r="E1704" s="3"/>
      <c r="F1704" s="3"/>
      <c r="G1704" s="3"/>
      <c r="H1704" s="490"/>
      <c r="I1704" s="490"/>
      <c r="J1704" s="503"/>
      <c r="K1704" s="490"/>
      <c r="L1704" s="490"/>
      <c r="M1704" s="490"/>
      <c r="N1704" s="490"/>
      <c r="O1704" s="3"/>
    </row>
    <row r="1705" spans="1:16" ht="18.75">
      <c r="B1705" s="449"/>
      <c r="C1705" s="6"/>
      <c r="D1705" s="47"/>
      <c r="E1705" s="3"/>
      <c r="F1705" s="3"/>
      <c r="G1705" s="3"/>
      <c r="H1705" s="490"/>
      <c r="I1705" s="490"/>
      <c r="J1705" s="503"/>
      <c r="K1705" s="490"/>
      <c r="L1705" s="490"/>
      <c r="M1705" s="490"/>
      <c r="N1705" s="490"/>
      <c r="O1705" s="3"/>
    </row>
    <row r="1706" spans="1:16" ht="18.75">
      <c r="B1706" s="449"/>
      <c r="C1706" s="6" t="s">
        <v>86</v>
      </c>
      <c r="D1706" s="47"/>
      <c r="E1706" s="3"/>
      <c r="F1706" s="3"/>
      <c r="G1706" s="3"/>
      <c r="H1706" s="490"/>
      <c r="I1706" s="490"/>
      <c r="J1706" s="503"/>
      <c r="K1706" s="490"/>
      <c r="L1706" s="490"/>
      <c r="M1706" s="490"/>
      <c r="N1706" s="490"/>
      <c r="O1706" s="3"/>
    </row>
    <row r="1707" spans="1:16" ht="15.75" thickBot="1">
      <c r="C1707" s="131"/>
      <c r="D1707" s="47"/>
      <c r="E1707" s="3"/>
      <c r="F1707" s="3"/>
      <c r="G1707" s="3"/>
      <c r="H1707" s="490"/>
      <c r="I1707" s="490"/>
      <c r="J1707" s="503"/>
      <c r="K1707" s="490"/>
      <c r="L1707" s="490"/>
      <c r="M1707" s="490"/>
      <c r="N1707" s="490"/>
      <c r="O1707" s="3"/>
    </row>
    <row r="1708" spans="1:16" ht="15.75">
      <c r="C1708" s="451" t="s">
        <v>87</v>
      </c>
      <c r="D1708" s="47"/>
      <c r="E1708" s="3"/>
      <c r="F1708" s="3"/>
      <c r="G1708" s="566"/>
      <c r="H1708" s="3" t="s">
        <v>66</v>
      </c>
      <c r="I1708" s="3"/>
      <c r="J1708" s="3"/>
      <c r="K1708" s="509" t="s">
        <v>91</v>
      </c>
      <c r="L1708" s="510"/>
      <c r="M1708" s="511"/>
      <c r="N1708" s="512">
        <f>IF(I1714=0,0,VLOOKUP(I1714,C1721:O1780,5))</f>
        <v>6640892.3631770099</v>
      </c>
      <c r="O1708" s="3"/>
    </row>
    <row r="1709" spans="1:16" ht="15.75">
      <c r="C1709" s="451"/>
      <c r="D1709" s="47"/>
      <c r="E1709" s="3"/>
      <c r="F1709" s="3"/>
      <c r="G1709" s="3"/>
      <c r="H1709" s="513"/>
      <c r="I1709" s="513"/>
      <c r="J1709" s="514"/>
      <c r="K1709" s="515" t="s">
        <v>92</v>
      </c>
      <c r="L1709" s="516"/>
      <c r="M1709" s="3"/>
      <c r="N1709" s="517">
        <f>IF(I1714=0,0,VLOOKUP(I1714,C1721:O1780,6))</f>
        <v>6640892.3631770099</v>
      </c>
      <c r="O1709" s="3"/>
    </row>
    <row r="1710" spans="1:16" ht="13.5" thickBot="1">
      <c r="C1710" s="518" t="s">
        <v>88</v>
      </c>
      <c r="D1710" s="1194" t="s">
        <v>822</v>
      </c>
      <c r="E1710" s="1194"/>
      <c r="F1710" s="1194"/>
      <c r="G1710" s="1194"/>
      <c r="H1710" s="1194"/>
      <c r="I1710" s="1194"/>
      <c r="J1710" s="503"/>
      <c r="K1710" s="519" t="s">
        <v>230</v>
      </c>
      <c r="L1710" s="520"/>
      <c r="M1710" s="520"/>
      <c r="N1710" s="521">
        <f>+N1709-N1708</f>
        <v>0</v>
      </c>
      <c r="O1710" s="3"/>
    </row>
    <row r="1711" spans="1:16">
      <c r="C1711" s="522"/>
      <c r="D1711" s="523"/>
      <c r="E1711" s="506"/>
      <c r="F1711" s="506"/>
      <c r="G1711" s="524"/>
      <c r="H1711" s="490"/>
      <c r="I1711" s="490"/>
      <c r="J1711" s="503"/>
      <c r="K1711" s="490"/>
      <c r="L1711" s="490"/>
      <c r="M1711" s="490"/>
      <c r="N1711" s="490"/>
      <c r="O1711" s="3"/>
    </row>
    <row r="1712" spans="1:16" ht="13.5" thickBot="1">
      <c r="C1712" s="522"/>
      <c r="D1712" s="3"/>
      <c r="E1712" s="524"/>
      <c r="F1712" s="524"/>
      <c r="G1712" s="524"/>
      <c r="H1712" s="524"/>
      <c r="I1712" s="524"/>
      <c r="J1712" s="524"/>
      <c r="K1712" s="524"/>
      <c r="L1712" s="524"/>
      <c r="M1712" s="524"/>
      <c r="N1712" s="524"/>
      <c r="O1712" s="3"/>
    </row>
    <row r="1713" spans="2:15" ht="13.5" thickBot="1">
      <c r="C1713" s="525" t="s">
        <v>89</v>
      </c>
      <c r="D1713" s="526"/>
      <c r="E1713" s="526"/>
      <c r="F1713" s="526"/>
      <c r="G1713" s="526"/>
      <c r="H1713" s="526"/>
      <c r="I1713" s="527"/>
      <c r="K1713" s="3"/>
      <c r="L1713" s="3"/>
      <c r="M1713" s="3"/>
      <c r="N1713" s="3"/>
      <c r="O1713" s="3"/>
    </row>
    <row r="1714" spans="2:15" ht="15">
      <c r="C1714" s="528" t="s">
        <v>67</v>
      </c>
      <c r="D1714" s="568">
        <v>50970497.310000002</v>
      </c>
      <c r="E1714" s="3" t="s">
        <v>68</v>
      </c>
      <c r="G1714" s="47"/>
      <c r="H1714" s="47"/>
      <c r="I1714" s="529">
        <f>$L$26</f>
        <v>2026</v>
      </c>
      <c r="J1714" s="70"/>
      <c r="K1714" s="1193" t="s">
        <v>239</v>
      </c>
      <c r="L1714" s="1193"/>
      <c r="M1714" s="1193"/>
      <c r="N1714" s="1193"/>
      <c r="O1714" s="1193"/>
    </row>
    <row r="1715" spans="2:15">
      <c r="C1715" s="528" t="s">
        <v>70</v>
      </c>
      <c r="D1715" s="569">
        <v>2015</v>
      </c>
      <c r="E1715" s="528" t="s">
        <v>71</v>
      </c>
      <c r="F1715" s="47"/>
      <c r="H1715"/>
      <c r="I1715" s="570">
        <f>IF(G1708="",0,$F$17)</f>
        <v>0</v>
      </c>
      <c r="J1715" s="530"/>
      <c r="K1715" s="503" t="s">
        <v>239</v>
      </c>
    </row>
    <row r="1716" spans="2:15">
      <c r="C1716" s="528" t="s">
        <v>72</v>
      </c>
      <c r="D1716" s="568">
        <v>6</v>
      </c>
      <c r="E1716" s="528" t="s">
        <v>73</v>
      </c>
      <c r="F1716" s="47"/>
      <c r="H1716"/>
      <c r="I1716" s="531">
        <f>$G$70</f>
        <v>0.14912278949438812</v>
      </c>
      <c r="J1716" s="489"/>
      <c r="K1716" t="str">
        <f>"          INPUT PROJECTED ARR (WITH &amp; WITHOUT INCENTIVES) FROM EACH PRIOR YEAR"</f>
        <v xml:space="preserve">          INPUT PROJECTED ARR (WITH &amp; WITHOUT INCENTIVES) FROM EACH PRIOR YEAR</v>
      </c>
    </row>
    <row r="1717" spans="2:15">
      <c r="C1717" s="528" t="s">
        <v>74</v>
      </c>
      <c r="D1717" s="532">
        <f>$G$79</f>
        <v>34</v>
      </c>
      <c r="E1717" s="528" t="s">
        <v>75</v>
      </c>
      <c r="F1717" s="47"/>
      <c r="H1717"/>
      <c r="I1717" s="531">
        <f>IF(G1708="",I1716,$G$69)</f>
        <v>0.14912278949438812</v>
      </c>
      <c r="J1717" s="489"/>
      <c r="K1717" t="s">
        <v>152</v>
      </c>
    </row>
    <row r="1718" spans="2:15" ht="13.5" thickBot="1">
      <c r="C1718" s="528" t="s">
        <v>76</v>
      </c>
      <c r="D1718" s="567" t="s">
        <v>802</v>
      </c>
      <c r="E1718" s="533" t="s">
        <v>77</v>
      </c>
      <c r="F1718" s="534"/>
      <c r="G1718" s="535"/>
      <c r="H1718" s="535"/>
      <c r="I1718" s="521">
        <f>IF(D1714=0,0,D1714/D1717)</f>
        <v>1499132.2738235295</v>
      </c>
      <c r="J1718" s="503"/>
      <c r="K1718" s="503" t="s">
        <v>158</v>
      </c>
      <c r="L1718" s="503"/>
      <c r="M1718" s="503"/>
      <c r="N1718" s="503"/>
      <c r="O1718" s="3"/>
    </row>
    <row r="1719" spans="2:15" ht="38.25">
      <c r="B1719" s="450"/>
      <c r="C1719" s="536" t="s">
        <v>67</v>
      </c>
      <c r="D1719" s="537" t="s">
        <v>78</v>
      </c>
      <c r="E1719" s="538" t="s">
        <v>79</v>
      </c>
      <c r="F1719" s="537" t="s">
        <v>80</v>
      </c>
      <c r="G1719" s="538" t="s">
        <v>151</v>
      </c>
      <c r="H1719" s="539" t="s">
        <v>151</v>
      </c>
      <c r="I1719" s="536" t="s">
        <v>90</v>
      </c>
      <c r="J1719" s="540"/>
      <c r="K1719" s="538" t="s">
        <v>160</v>
      </c>
      <c r="L1719" s="541"/>
      <c r="M1719" s="538" t="s">
        <v>160</v>
      </c>
      <c r="N1719" s="541"/>
      <c r="O1719" s="541"/>
    </row>
    <row r="1720" spans="2:15" ht="13.5" thickBot="1">
      <c r="C1720" s="542" t="s">
        <v>467</v>
      </c>
      <c r="D1720" s="543" t="s">
        <v>468</v>
      </c>
      <c r="E1720" s="542" t="s">
        <v>361</v>
      </c>
      <c r="F1720" s="543" t="s">
        <v>468</v>
      </c>
      <c r="G1720" s="544" t="s">
        <v>93</v>
      </c>
      <c r="H1720" s="545" t="s">
        <v>95</v>
      </c>
      <c r="I1720" s="542" t="s">
        <v>15</v>
      </c>
      <c r="J1720" s="546"/>
      <c r="K1720" s="544" t="s">
        <v>82</v>
      </c>
      <c r="L1720" s="547"/>
      <c r="M1720" s="544" t="s">
        <v>95</v>
      </c>
      <c r="N1720" s="547"/>
      <c r="O1720" s="547"/>
    </row>
    <row r="1721" spans="2:15">
      <c r="C1721" s="548">
        <f>IF(D1715= "","-",D1715)</f>
        <v>2015</v>
      </c>
      <c r="D1721" s="506">
        <f>+D1714</f>
        <v>50970497.310000002</v>
      </c>
      <c r="E1721" s="549">
        <f>+I1718/12*(12-D1716)</f>
        <v>749566.13691176474</v>
      </c>
      <c r="F1721" s="506">
        <f>+D1721-E1721</f>
        <v>50220931.173088238</v>
      </c>
      <c r="G1721" s="723">
        <f>+$I$96*((D1721+F1721)/2)+E1721</f>
        <v>8294540.1810717639</v>
      </c>
      <c r="H1721" s="724">
        <f>$I$97*((D1721+F1721)/2)+E1721</f>
        <v>8294540.1810717639</v>
      </c>
      <c r="I1721" s="552">
        <f>+H1721-G1721</f>
        <v>0</v>
      </c>
      <c r="J1721" s="552"/>
      <c r="K1721" s="571">
        <v>6416043</v>
      </c>
      <c r="L1721" s="553"/>
      <c r="M1721" s="571">
        <v>6416043</v>
      </c>
      <c r="N1721" s="553"/>
      <c r="O1721" s="553"/>
    </row>
    <row r="1722" spans="2:15">
      <c r="C1722" s="548">
        <f>IF(D1715="","-",+C1721+1)</f>
        <v>2016</v>
      </c>
      <c r="D1722" s="506">
        <f t="shared" ref="D1722:D1780" si="131">F1721</f>
        <v>50220931.173088238</v>
      </c>
      <c r="E1722" s="549">
        <f>IF(D1722&gt;$I$1718,$I$1718,D1722)</f>
        <v>1499132.2738235295</v>
      </c>
      <c r="F1722" s="506">
        <f t="shared" ref="F1722:F1780" si="132">+D1722-E1722</f>
        <v>48721798.899264708</v>
      </c>
      <c r="G1722" s="554">
        <f t="shared" ref="G1722:G1780" si="133">+$I$96*((D1722+F1722)/2)+E1722</f>
        <v>8876440.2281133048</v>
      </c>
      <c r="H1722" s="555">
        <f t="shared" ref="H1722:H1780" si="134">$I$97*((D1722+F1722)/2)+E1722</f>
        <v>8876440.2281133048</v>
      </c>
      <c r="I1722" s="552">
        <f t="shared" ref="I1722:I1780" si="135">+H1722-G1722</f>
        <v>0</v>
      </c>
      <c r="J1722" s="552"/>
      <c r="K1722" s="572">
        <v>7260678</v>
      </c>
      <c r="L1722" s="556"/>
      <c r="M1722" s="572">
        <v>7260678</v>
      </c>
      <c r="N1722" s="556"/>
      <c r="O1722" s="556"/>
    </row>
    <row r="1723" spans="2:15">
      <c r="C1723" s="548">
        <f>IF(D1715="","-",+C1722+1)</f>
        <v>2017</v>
      </c>
      <c r="D1723" s="506">
        <f t="shared" si="131"/>
        <v>48721798.899264708</v>
      </c>
      <c r="E1723" s="549">
        <f t="shared" ref="E1723:E1780" si="136">IF(D1723&gt;$I$1718,$I$1718,D1723)</f>
        <v>1499132.2738235295</v>
      </c>
      <c r="F1723" s="506">
        <f t="shared" si="132"/>
        <v>47222666.625441179</v>
      </c>
      <c r="G1723" s="554">
        <f t="shared" si="133"/>
        <v>8652885.4416196756</v>
      </c>
      <c r="H1723" s="555">
        <f t="shared" si="134"/>
        <v>8652885.4416196756</v>
      </c>
      <c r="I1723" s="552">
        <f t="shared" si="135"/>
        <v>0</v>
      </c>
      <c r="J1723" s="552"/>
      <c r="K1723" s="572">
        <v>8690541</v>
      </c>
      <c r="L1723" s="556"/>
      <c r="M1723" s="572">
        <v>8690541</v>
      </c>
      <c r="N1723" s="556"/>
      <c r="O1723" s="556"/>
    </row>
    <row r="1724" spans="2:15">
      <c r="C1724" s="974">
        <f>IF(D1715="","-",+C1723+1)</f>
        <v>2018</v>
      </c>
      <c r="D1724" s="506">
        <f t="shared" si="131"/>
        <v>47222666.625441179</v>
      </c>
      <c r="E1724" s="549">
        <f t="shared" si="136"/>
        <v>1499132.2738235295</v>
      </c>
      <c r="F1724" s="506">
        <f t="shared" si="132"/>
        <v>45723534.351617649</v>
      </c>
      <c r="G1724" s="554">
        <f t="shared" si="133"/>
        <v>8429330.6551260464</v>
      </c>
      <c r="H1724" s="555">
        <f t="shared" si="134"/>
        <v>8429330.6551260464</v>
      </c>
      <c r="I1724" s="552">
        <f t="shared" si="135"/>
        <v>0</v>
      </c>
      <c r="J1724" s="552"/>
      <c r="K1724" s="572">
        <v>7830032</v>
      </c>
      <c r="L1724" s="556"/>
      <c r="M1724" s="572">
        <v>7830032</v>
      </c>
      <c r="N1724" s="556"/>
      <c r="O1724" s="556"/>
    </row>
    <row r="1725" spans="2:15">
      <c r="C1725" s="974">
        <f>IF(D1715="","-",+C1724+1)</f>
        <v>2019</v>
      </c>
      <c r="D1725" s="506">
        <f t="shared" si="131"/>
        <v>45723534.351617649</v>
      </c>
      <c r="E1725" s="549">
        <f t="shared" si="136"/>
        <v>1499132.2738235295</v>
      </c>
      <c r="F1725" s="506">
        <f t="shared" si="132"/>
        <v>44224402.07779412</v>
      </c>
      <c r="G1725" s="554">
        <f t="shared" si="133"/>
        <v>8205775.8686324172</v>
      </c>
      <c r="H1725" s="555">
        <f t="shared" si="134"/>
        <v>8205775.8686324172</v>
      </c>
      <c r="I1725" s="552">
        <f t="shared" si="135"/>
        <v>0</v>
      </c>
      <c r="J1725" s="552"/>
      <c r="K1725" s="572">
        <v>8066437.6407060083</v>
      </c>
      <c r="L1725" s="556"/>
      <c r="M1725" s="572">
        <v>8066437.6407060083</v>
      </c>
      <c r="N1725" s="556"/>
      <c r="O1725" s="556"/>
    </row>
    <row r="1726" spans="2:15">
      <c r="C1726" s="974">
        <f>IF(D1715="","-",+C1725+1)</f>
        <v>2020</v>
      </c>
      <c r="D1726" s="506">
        <f t="shared" si="131"/>
        <v>44224402.07779412</v>
      </c>
      <c r="E1726" s="549">
        <f t="shared" si="136"/>
        <v>1499132.2738235295</v>
      </c>
      <c r="F1726" s="506">
        <f t="shared" si="132"/>
        <v>42725269.80397059</v>
      </c>
      <c r="G1726" s="554">
        <f t="shared" si="133"/>
        <v>7982221.082138788</v>
      </c>
      <c r="H1726" s="555">
        <f t="shared" si="134"/>
        <v>7982221.082138788</v>
      </c>
      <c r="I1726" s="552">
        <f t="shared" si="135"/>
        <v>0</v>
      </c>
      <c r="J1726" s="552"/>
      <c r="K1726" s="572">
        <v>8458843.4124214686</v>
      </c>
      <c r="L1726" s="556"/>
      <c r="M1726" s="572">
        <v>8458843.4124214686</v>
      </c>
      <c r="N1726" s="556"/>
      <c r="O1726" s="556"/>
    </row>
    <row r="1727" spans="2:15">
      <c r="C1727" s="974">
        <f>IF(D1715="","-",+C1726+1)</f>
        <v>2021</v>
      </c>
      <c r="D1727" s="506">
        <f t="shared" si="131"/>
        <v>42725269.80397059</v>
      </c>
      <c r="E1727" s="549">
        <f t="shared" si="136"/>
        <v>1499132.2738235295</v>
      </c>
      <c r="F1727" s="506">
        <f t="shared" si="132"/>
        <v>41226137.530147061</v>
      </c>
      <c r="G1727" s="554">
        <f t="shared" si="133"/>
        <v>7758666.2956451578</v>
      </c>
      <c r="H1727" s="555">
        <f t="shared" si="134"/>
        <v>7758666.2956451578</v>
      </c>
      <c r="I1727" s="552">
        <f t="shared" si="135"/>
        <v>0</v>
      </c>
      <c r="J1727" s="552"/>
      <c r="K1727" s="572">
        <v>7649879.9991585836</v>
      </c>
      <c r="L1727" s="556"/>
      <c r="M1727" s="572">
        <v>7649879.9991585836</v>
      </c>
      <c r="N1727" s="556"/>
      <c r="O1727" s="556"/>
    </row>
    <row r="1728" spans="2:15">
      <c r="C1728" s="974">
        <f>IF(D1715="","-",+C1727+1)</f>
        <v>2022</v>
      </c>
      <c r="D1728" s="506">
        <f t="shared" si="131"/>
        <v>41226137.530147061</v>
      </c>
      <c r="E1728" s="549">
        <f t="shared" si="136"/>
        <v>1499132.2738235295</v>
      </c>
      <c r="F1728" s="506">
        <f t="shared" si="132"/>
        <v>39727005.256323531</v>
      </c>
      <c r="G1728" s="554">
        <f t="shared" si="133"/>
        <v>7535111.5091515286</v>
      </c>
      <c r="H1728" s="555">
        <f t="shared" si="134"/>
        <v>7535111.5091515286</v>
      </c>
      <c r="I1728" s="552">
        <f t="shared" si="135"/>
        <v>0</v>
      </c>
      <c r="J1728" s="552"/>
      <c r="K1728" s="572">
        <v>7644098.9324359279</v>
      </c>
      <c r="L1728" s="556"/>
      <c r="M1728" s="572">
        <v>7644098.9324359279</v>
      </c>
      <c r="N1728" s="556"/>
      <c r="O1728" s="556"/>
    </row>
    <row r="1729" spans="3:15">
      <c r="C1729" s="974">
        <f>IF(D1715="","-",+C1728+1)</f>
        <v>2023</v>
      </c>
      <c r="D1729" s="506">
        <f t="shared" si="131"/>
        <v>39727005.256323531</v>
      </c>
      <c r="E1729" s="549">
        <f t="shared" si="136"/>
        <v>1499132.2738235295</v>
      </c>
      <c r="F1729" s="506">
        <f t="shared" si="132"/>
        <v>38227872.982500002</v>
      </c>
      <c r="G1729" s="554">
        <f t="shared" si="133"/>
        <v>7311556.7226578994</v>
      </c>
      <c r="H1729" s="555">
        <f t="shared" si="134"/>
        <v>7311556.7226578994</v>
      </c>
      <c r="I1729" s="552">
        <f t="shared" si="135"/>
        <v>0</v>
      </c>
      <c r="J1729" s="552"/>
      <c r="K1729" s="572">
        <v>7455437.8209287105</v>
      </c>
      <c r="L1729" s="556"/>
      <c r="M1729" s="572">
        <v>7455437.8209287105</v>
      </c>
      <c r="N1729" s="556"/>
      <c r="O1729" s="556"/>
    </row>
    <row r="1730" spans="3:15">
      <c r="C1730" s="548">
        <f>IF(D1715="","-",+C1729+1)</f>
        <v>2024</v>
      </c>
      <c r="D1730" s="506">
        <f t="shared" si="131"/>
        <v>38227872.982500002</v>
      </c>
      <c r="E1730" s="549">
        <f t="shared" si="136"/>
        <v>1499132.2738235295</v>
      </c>
      <c r="F1730" s="506">
        <f t="shared" si="132"/>
        <v>36728740.708676472</v>
      </c>
      <c r="G1730" s="554">
        <f t="shared" si="133"/>
        <v>7088001.9361642692</v>
      </c>
      <c r="H1730" s="555">
        <f t="shared" si="134"/>
        <v>7088001.9361642692</v>
      </c>
      <c r="I1730" s="552">
        <f t="shared" si="135"/>
        <v>0</v>
      </c>
      <c r="J1730" s="552"/>
      <c r="K1730" s="572">
        <v>7122746.7068659738</v>
      </c>
      <c r="L1730" s="556"/>
      <c r="M1730" s="572">
        <v>7122746.7068659738</v>
      </c>
      <c r="N1730" s="556"/>
      <c r="O1730" s="556"/>
    </row>
    <row r="1731" spans="3:15">
      <c r="C1731" s="548">
        <f>IF(D1715="","-",+C1730+1)</f>
        <v>2025</v>
      </c>
      <c r="D1731" s="506">
        <f t="shared" si="131"/>
        <v>36728740.708676472</v>
      </c>
      <c r="E1731" s="549">
        <f t="shared" si="136"/>
        <v>1499132.2738235295</v>
      </c>
      <c r="F1731" s="506">
        <f t="shared" si="132"/>
        <v>35229608.434852943</v>
      </c>
      <c r="G1731" s="554">
        <f t="shared" si="133"/>
        <v>6864447.14967064</v>
      </c>
      <c r="H1731" s="555">
        <f t="shared" si="134"/>
        <v>6864447.14967064</v>
      </c>
      <c r="I1731" s="552">
        <f t="shared" si="135"/>
        <v>0</v>
      </c>
      <c r="J1731" s="552"/>
      <c r="K1731" s="572">
        <v>6884242.4284389764</v>
      </c>
      <c r="L1731" s="556"/>
      <c r="M1731" s="572">
        <v>6884242.4284389764</v>
      </c>
      <c r="N1731" s="556"/>
      <c r="O1731" s="556"/>
    </row>
    <row r="1732" spans="3:15">
      <c r="C1732" s="955">
        <f>IF(D1715="","-",+C1731+1)</f>
        <v>2026</v>
      </c>
      <c r="D1732" s="506">
        <f t="shared" si="131"/>
        <v>35229608.434852943</v>
      </c>
      <c r="E1732" s="549">
        <f t="shared" si="136"/>
        <v>1499132.2738235295</v>
      </c>
      <c r="F1732" s="506">
        <f t="shared" si="132"/>
        <v>33730476.161029413</v>
      </c>
      <c r="G1732" s="554">
        <f t="shared" si="133"/>
        <v>6640892.3631770099</v>
      </c>
      <c r="H1732" s="555">
        <f t="shared" si="134"/>
        <v>6640892.3631770099</v>
      </c>
      <c r="I1732" s="552">
        <f t="shared" si="135"/>
        <v>0</v>
      </c>
      <c r="J1732" s="552"/>
      <c r="K1732" s="572"/>
      <c r="L1732" s="556"/>
      <c r="M1732" s="572"/>
      <c r="N1732" s="556"/>
      <c r="O1732" s="556"/>
    </row>
    <row r="1733" spans="3:15">
      <c r="C1733" s="548">
        <f>IF(D1715="","-",+C1732+1)</f>
        <v>2027</v>
      </c>
      <c r="D1733" s="506">
        <f t="shared" si="131"/>
        <v>33730476.161029413</v>
      </c>
      <c r="E1733" s="549">
        <f t="shared" si="136"/>
        <v>1499132.2738235295</v>
      </c>
      <c r="F1733" s="506">
        <f t="shared" si="132"/>
        <v>32231343.887205884</v>
      </c>
      <c r="G1733" s="554">
        <f t="shared" si="133"/>
        <v>6417337.5766833806</v>
      </c>
      <c r="H1733" s="555">
        <f t="shared" si="134"/>
        <v>6417337.5766833806</v>
      </c>
      <c r="I1733" s="552">
        <f t="shared" si="135"/>
        <v>0</v>
      </c>
      <c r="J1733" s="552"/>
      <c r="K1733" s="572"/>
      <c r="L1733" s="556"/>
      <c r="M1733" s="572"/>
      <c r="N1733" s="557"/>
      <c r="O1733" s="556"/>
    </row>
    <row r="1734" spans="3:15">
      <c r="C1734" s="548">
        <f>IF(D1715="","-",+C1733+1)</f>
        <v>2028</v>
      </c>
      <c r="D1734" s="506">
        <f t="shared" si="131"/>
        <v>32231343.887205884</v>
      </c>
      <c r="E1734" s="549">
        <f t="shared" si="136"/>
        <v>1499132.2738235295</v>
      </c>
      <c r="F1734" s="506">
        <f t="shared" si="132"/>
        <v>30732211.613382354</v>
      </c>
      <c r="G1734" s="554">
        <f t="shared" si="133"/>
        <v>6193782.7901897514</v>
      </c>
      <c r="H1734" s="555">
        <f t="shared" si="134"/>
        <v>6193782.7901897514</v>
      </c>
      <c r="I1734" s="552">
        <f t="shared" si="135"/>
        <v>0</v>
      </c>
      <c r="J1734" s="552"/>
      <c r="K1734" s="572"/>
      <c r="L1734" s="556"/>
      <c r="M1734" s="572"/>
      <c r="N1734" s="556"/>
      <c r="O1734" s="556"/>
    </row>
    <row r="1735" spans="3:15">
      <c r="C1735" s="548">
        <f>IF(D1715="","-",+C1734+1)</f>
        <v>2029</v>
      </c>
      <c r="D1735" s="506">
        <f t="shared" si="131"/>
        <v>30732211.613382354</v>
      </c>
      <c r="E1735" s="549">
        <f t="shared" si="136"/>
        <v>1499132.2738235295</v>
      </c>
      <c r="F1735" s="506">
        <f t="shared" si="132"/>
        <v>29233079.339558825</v>
      </c>
      <c r="G1735" s="554">
        <f t="shared" si="133"/>
        <v>5970228.0036961213</v>
      </c>
      <c r="H1735" s="555">
        <f t="shared" si="134"/>
        <v>5970228.0036961213</v>
      </c>
      <c r="I1735" s="552">
        <f t="shared" si="135"/>
        <v>0</v>
      </c>
      <c r="J1735" s="552"/>
      <c r="K1735" s="572"/>
      <c r="L1735" s="556"/>
      <c r="M1735" s="572"/>
      <c r="N1735" s="556"/>
      <c r="O1735" s="556"/>
    </row>
    <row r="1736" spans="3:15">
      <c r="C1736" s="548">
        <f>IF(D1715="","-",+C1735+1)</f>
        <v>2030</v>
      </c>
      <c r="D1736" s="506">
        <f t="shared" si="131"/>
        <v>29233079.339558825</v>
      </c>
      <c r="E1736" s="549">
        <f t="shared" si="136"/>
        <v>1499132.2738235295</v>
      </c>
      <c r="F1736" s="506">
        <f t="shared" si="132"/>
        <v>27733947.065735295</v>
      </c>
      <c r="G1736" s="554">
        <f t="shared" si="133"/>
        <v>5746673.2172024921</v>
      </c>
      <c r="H1736" s="555">
        <f t="shared" si="134"/>
        <v>5746673.2172024921</v>
      </c>
      <c r="I1736" s="552">
        <f t="shared" si="135"/>
        <v>0</v>
      </c>
      <c r="J1736" s="552"/>
      <c r="K1736" s="572"/>
      <c r="L1736" s="556"/>
      <c r="M1736" s="572"/>
      <c r="N1736" s="556"/>
      <c r="O1736" s="556"/>
    </row>
    <row r="1737" spans="3:15">
      <c r="C1737" s="548">
        <f>IF(D1715="","-",+C1736+1)</f>
        <v>2031</v>
      </c>
      <c r="D1737" s="506">
        <f t="shared" si="131"/>
        <v>27733947.065735295</v>
      </c>
      <c r="E1737" s="549">
        <f t="shared" si="136"/>
        <v>1499132.2738235295</v>
      </c>
      <c r="F1737" s="506">
        <f t="shared" si="132"/>
        <v>26234814.791911766</v>
      </c>
      <c r="G1737" s="554">
        <f t="shared" si="133"/>
        <v>5523118.4307088628</v>
      </c>
      <c r="H1737" s="555">
        <f t="shared" si="134"/>
        <v>5523118.4307088628</v>
      </c>
      <c r="I1737" s="552">
        <f t="shared" si="135"/>
        <v>0</v>
      </c>
      <c r="J1737" s="552"/>
      <c r="K1737" s="572"/>
      <c r="L1737" s="556"/>
      <c r="M1737" s="572"/>
      <c r="N1737" s="556"/>
      <c r="O1737" s="556"/>
    </row>
    <row r="1738" spans="3:15">
      <c r="C1738" s="548">
        <f>IF(D1715="","-",+C1737+1)</f>
        <v>2032</v>
      </c>
      <c r="D1738" s="506">
        <f t="shared" si="131"/>
        <v>26234814.791911766</v>
      </c>
      <c r="E1738" s="549">
        <f t="shared" si="136"/>
        <v>1499132.2738235295</v>
      </c>
      <c r="F1738" s="506">
        <f t="shared" si="132"/>
        <v>24735682.518088236</v>
      </c>
      <c r="G1738" s="554">
        <f t="shared" si="133"/>
        <v>5299563.6442152327</v>
      </c>
      <c r="H1738" s="555">
        <f t="shared" si="134"/>
        <v>5299563.6442152327</v>
      </c>
      <c r="I1738" s="552">
        <f t="shared" si="135"/>
        <v>0</v>
      </c>
      <c r="J1738" s="552"/>
      <c r="K1738" s="572"/>
      <c r="L1738" s="556"/>
      <c r="M1738" s="572"/>
      <c r="N1738" s="556"/>
      <c r="O1738" s="556"/>
    </row>
    <row r="1739" spans="3:15">
      <c r="C1739" s="548">
        <f>IF(D1715="","-",+C1738+1)</f>
        <v>2033</v>
      </c>
      <c r="D1739" s="506">
        <f t="shared" si="131"/>
        <v>24735682.518088236</v>
      </c>
      <c r="E1739" s="549">
        <f t="shared" si="136"/>
        <v>1499132.2738235295</v>
      </c>
      <c r="F1739" s="506">
        <f t="shared" si="132"/>
        <v>23236550.244264707</v>
      </c>
      <c r="G1739" s="554">
        <f t="shared" si="133"/>
        <v>5076008.8577216025</v>
      </c>
      <c r="H1739" s="555">
        <f t="shared" si="134"/>
        <v>5076008.8577216025</v>
      </c>
      <c r="I1739" s="552">
        <f t="shared" si="135"/>
        <v>0</v>
      </c>
      <c r="J1739" s="552"/>
      <c r="K1739" s="572"/>
      <c r="L1739" s="556"/>
      <c r="M1739" s="572"/>
      <c r="N1739" s="556"/>
      <c r="O1739" s="556"/>
    </row>
    <row r="1740" spans="3:15">
      <c r="C1740" s="548">
        <f>IF(D1715="","-",+C1739+1)</f>
        <v>2034</v>
      </c>
      <c r="D1740" s="506">
        <f t="shared" si="131"/>
        <v>23236550.244264707</v>
      </c>
      <c r="E1740" s="549">
        <f t="shared" si="136"/>
        <v>1499132.2738235295</v>
      </c>
      <c r="F1740" s="506">
        <f t="shared" si="132"/>
        <v>21737417.970441177</v>
      </c>
      <c r="G1740" s="554">
        <f t="shared" si="133"/>
        <v>4852454.0712279733</v>
      </c>
      <c r="H1740" s="555">
        <f t="shared" si="134"/>
        <v>4852454.0712279733</v>
      </c>
      <c r="I1740" s="552">
        <f t="shared" si="135"/>
        <v>0</v>
      </c>
      <c r="J1740" s="552"/>
      <c r="K1740" s="572"/>
      <c r="L1740" s="556"/>
      <c r="M1740" s="572"/>
      <c r="N1740" s="556"/>
      <c r="O1740" s="556"/>
    </row>
    <row r="1741" spans="3:15">
      <c r="C1741" s="548">
        <f>IF(D1715="","-",+C1740+1)</f>
        <v>2035</v>
      </c>
      <c r="D1741" s="506">
        <f t="shared" si="131"/>
        <v>21737417.970441177</v>
      </c>
      <c r="E1741" s="549">
        <f t="shared" si="136"/>
        <v>1499132.2738235295</v>
      </c>
      <c r="F1741" s="506">
        <f t="shared" si="132"/>
        <v>20238285.696617648</v>
      </c>
      <c r="G1741" s="554">
        <f t="shared" si="133"/>
        <v>4628899.2847343441</v>
      </c>
      <c r="H1741" s="555">
        <f t="shared" si="134"/>
        <v>4628899.2847343441</v>
      </c>
      <c r="I1741" s="552">
        <f t="shared" si="135"/>
        <v>0</v>
      </c>
      <c r="J1741" s="552"/>
      <c r="K1741" s="572"/>
      <c r="L1741" s="556"/>
      <c r="M1741" s="572"/>
      <c r="N1741" s="556"/>
      <c r="O1741" s="556"/>
    </row>
    <row r="1742" spans="3:15">
      <c r="C1742" s="548">
        <f>IF(D1715="","-",+C1741+1)</f>
        <v>2036</v>
      </c>
      <c r="D1742" s="506">
        <f t="shared" si="131"/>
        <v>20238285.696617648</v>
      </c>
      <c r="E1742" s="549">
        <f t="shared" si="136"/>
        <v>1499132.2738235295</v>
      </c>
      <c r="F1742" s="506">
        <f t="shared" si="132"/>
        <v>18739153.422794119</v>
      </c>
      <c r="G1742" s="554">
        <f t="shared" si="133"/>
        <v>4405344.4982407149</v>
      </c>
      <c r="H1742" s="555">
        <f t="shared" si="134"/>
        <v>4405344.4982407149</v>
      </c>
      <c r="I1742" s="552">
        <f t="shared" si="135"/>
        <v>0</v>
      </c>
      <c r="J1742" s="552"/>
      <c r="K1742" s="572"/>
      <c r="L1742" s="556"/>
      <c r="M1742" s="572"/>
      <c r="N1742" s="556"/>
      <c r="O1742" s="556"/>
    </row>
    <row r="1743" spans="3:15">
      <c r="C1743" s="548">
        <f>IF(D1715="","-",+C1742+1)</f>
        <v>2037</v>
      </c>
      <c r="D1743" s="506">
        <f t="shared" si="131"/>
        <v>18739153.422794119</v>
      </c>
      <c r="E1743" s="549">
        <f t="shared" si="136"/>
        <v>1499132.2738235295</v>
      </c>
      <c r="F1743" s="506">
        <f t="shared" si="132"/>
        <v>17240021.148970589</v>
      </c>
      <c r="G1743" s="554">
        <f t="shared" si="133"/>
        <v>4181789.7117470847</v>
      </c>
      <c r="H1743" s="555">
        <f t="shared" si="134"/>
        <v>4181789.7117470847</v>
      </c>
      <c r="I1743" s="552">
        <f t="shared" si="135"/>
        <v>0</v>
      </c>
      <c r="J1743" s="552"/>
      <c r="K1743" s="572"/>
      <c r="L1743" s="556"/>
      <c r="M1743" s="572"/>
      <c r="N1743" s="556"/>
      <c r="O1743" s="556"/>
    </row>
    <row r="1744" spans="3:15">
      <c r="C1744" s="548">
        <f>IF(D1715="","-",+C1743+1)</f>
        <v>2038</v>
      </c>
      <c r="D1744" s="506">
        <f t="shared" si="131"/>
        <v>17240021.148970589</v>
      </c>
      <c r="E1744" s="549">
        <f t="shared" si="136"/>
        <v>1499132.2738235295</v>
      </c>
      <c r="F1744" s="506">
        <f t="shared" si="132"/>
        <v>15740888.87514706</v>
      </c>
      <c r="G1744" s="554">
        <f t="shared" si="133"/>
        <v>3958234.9252534551</v>
      </c>
      <c r="H1744" s="555">
        <f t="shared" si="134"/>
        <v>3958234.9252534551</v>
      </c>
      <c r="I1744" s="552">
        <f t="shared" si="135"/>
        <v>0</v>
      </c>
      <c r="J1744" s="552"/>
      <c r="K1744" s="572"/>
      <c r="L1744" s="556"/>
      <c r="M1744" s="572"/>
      <c r="N1744" s="556"/>
      <c r="O1744" s="556"/>
    </row>
    <row r="1745" spans="3:15">
      <c r="C1745" s="548">
        <f>IF(D1715="","-",+C1744+1)</f>
        <v>2039</v>
      </c>
      <c r="D1745" s="506">
        <f t="shared" si="131"/>
        <v>15740888.87514706</v>
      </c>
      <c r="E1745" s="549">
        <f t="shared" si="136"/>
        <v>1499132.2738235295</v>
      </c>
      <c r="F1745" s="506">
        <f t="shared" si="132"/>
        <v>14241756.60132353</v>
      </c>
      <c r="G1745" s="554">
        <f t="shared" si="133"/>
        <v>3734680.1387598254</v>
      </c>
      <c r="H1745" s="555">
        <f t="shared" si="134"/>
        <v>3734680.1387598254</v>
      </c>
      <c r="I1745" s="552">
        <f t="shared" si="135"/>
        <v>0</v>
      </c>
      <c r="J1745" s="552"/>
      <c r="K1745" s="572"/>
      <c r="L1745" s="556"/>
      <c r="M1745" s="572"/>
      <c r="N1745" s="556"/>
      <c r="O1745" s="556"/>
    </row>
    <row r="1746" spans="3:15">
      <c r="C1746" s="548">
        <f>IF(D1715="","-",+C1745+1)</f>
        <v>2040</v>
      </c>
      <c r="D1746" s="506">
        <f t="shared" si="131"/>
        <v>14241756.60132353</v>
      </c>
      <c r="E1746" s="549">
        <f t="shared" si="136"/>
        <v>1499132.2738235295</v>
      </c>
      <c r="F1746" s="506">
        <f t="shared" si="132"/>
        <v>12742624.327500001</v>
      </c>
      <c r="G1746" s="554">
        <f t="shared" si="133"/>
        <v>3511125.3522661962</v>
      </c>
      <c r="H1746" s="555">
        <f t="shared" si="134"/>
        <v>3511125.3522661962</v>
      </c>
      <c r="I1746" s="552">
        <f t="shared" si="135"/>
        <v>0</v>
      </c>
      <c r="J1746" s="552"/>
      <c r="K1746" s="572"/>
      <c r="L1746" s="556"/>
      <c r="M1746" s="572"/>
      <c r="N1746" s="556"/>
      <c r="O1746" s="556"/>
    </row>
    <row r="1747" spans="3:15">
      <c r="C1747" s="548">
        <f>IF(D1715="","-",+C1746+1)</f>
        <v>2041</v>
      </c>
      <c r="D1747" s="506">
        <f t="shared" si="131"/>
        <v>12742624.327500001</v>
      </c>
      <c r="E1747" s="549">
        <f t="shared" si="136"/>
        <v>1499132.2738235295</v>
      </c>
      <c r="F1747" s="506">
        <f t="shared" si="132"/>
        <v>11243492.053676471</v>
      </c>
      <c r="G1747" s="554">
        <f t="shared" si="133"/>
        <v>3287570.565772566</v>
      </c>
      <c r="H1747" s="555">
        <f t="shared" si="134"/>
        <v>3287570.565772566</v>
      </c>
      <c r="I1747" s="552">
        <f t="shared" si="135"/>
        <v>0</v>
      </c>
      <c r="J1747" s="552"/>
      <c r="K1747" s="572"/>
      <c r="L1747" s="556"/>
      <c r="M1747" s="572"/>
      <c r="N1747" s="556"/>
      <c r="O1747" s="556"/>
    </row>
    <row r="1748" spans="3:15">
      <c r="C1748" s="548">
        <f>IF(D1715="","-",+C1747+1)</f>
        <v>2042</v>
      </c>
      <c r="D1748" s="506">
        <f t="shared" si="131"/>
        <v>11243492.053676471</v>
      </c>
      <c r="E1748" s="549">
        <f t="shared" si="136"/>
        <v>1499132.2738235295</v>
      </c>
      <c r="F1748" s="506">
        <f t="shared" si="132"/>
        <v>9744359.7798529416</v>
      </c>
      <c r="G1748" s="554">
        <f t="shared" si="133"/>
        <v>3064015.7792789368</v>
      </c>
      <c r="H1748" s="555">
        <f t="shared" si="134"/>
        <v>3064015.7792789368</v>
      </c>
      <c r="I1748" s="552">
        <f t="shared" si="135"/>
        <v>0</v>
      </c>
      <c r="J1748" s="552"/>
      <c r="K1748" s="572"/>
      <c r="L1748" s="556"/>
      <c r="M1748" s="572"/>
      <c r="N1748" s="556"/>
      <c r="O1748" s="556"/>
    </row>
    <row r="1749" spans="3:15">
      <c r="C1749" s="548">
        <f>IF(D1715="","-",+C1748+1)</f>
        <v>2043</v>
      </c>
      <c r="D1749" s="506">
        <f t="shared" si="131"/>
        <v>9744359.7798529416</v>
      </c>
      <c r="E1749" s="549">
        <f t="shared" si="136"/>
        <v>1499132.2738235295</v>
      </c>
      <c r="F1749" s="506">
        <f t="shared" si="132"/>
        <v>8245227.5060294122</v>
      </c>
      <c r="G1749" s="550">
        <f t="shared" si="133"/>
        <v>2840460.9927853071</v>
      </c>
      <c r="H1749" s="555">
        <f t="shared" si="134"/>
        <v>2840460.9927853071</v>
      </c>
      <c r="I1749" s="552">
        <f t="shared" si="135"/>
        <v>0</v>
      </c>
      <c r="J1749" s="552"/>
      <c r="K1749" s="572"/>
      <c r="L1749" s="556"/>
      <c r="M1749" s="572"/>
      <c r="N1749" s="556"/>
      <c r="O1749" s="556"/>
    </row>
    <row r="1750" spans="3:15">
      <c r="C1750" s="548">
        <f>IF(D1715="","-",+C1749+1)</f>
        <v>2044</v>
      </c>
      <c r="D1750" s="506">
        <f t="shared" si="131"/>
        <v>8245227.5060294122</v>
      </c>
      <c r="E1750" s="549">
        <f t="shared" si="136"/>
        <v>1499132.2738235295</v>
      </c>
      <c r="F1750" s="506">
        <f t="shared" si="132"/>
        <v>6746095.2322058827</v>
      </c>
      <c r="G1750" s="554">
        <f t="shared" si="133"/>
        <v>2616906.2062916774</v>
      </c>
      <c r="H1750" s="555">
        <f t="shared" si="134"/>
        <v>2616906.2062916774</v>
      </c>
      <c r="I1750" s="552">
        <f t="shared" si="135"/>
        <v>0</v>
      </c>
      <c r="J1750" s="552"/>
      <c r="K1750" s="572"/>
      <c r="L1750" s="556"/>
      <c r="M1750" s="572"/>
      <c r="N1750" s="556"/>
      <c r="O1750" s="556"/>
    </row>
    <row r="1751" spans="3:15">
      <c r="C1751" s="548">
        <f>IF(D1715="","-",+C1750+1)</f>
        <v>2045</v>
      </c>
      <c r="D1751" s="506">
        <f t="shared" si="131"/>
        <v>6746095.2322058827</v>
      </c>
      <c r="E1751" s="549">
        <f t="shared" si="136"/>
        <v>1499132.2738235295</v>
      </c>
      <c r="F1751" s="506">
        <f t="shared" si="132"/>
        <v>5246962.9583823532</v>
      </c>
      <c r="G1751" s="554">
        <f t="shared" si="133"/>
        <v>2393351.4197980477</v>
      </c>
      <c r="H1751" s="555">
        <f t="shared" si="134"/>
        <v>2393351.4197980477</v>
      </c>
      <c r="I1751" s="552">
        <f t="shared" si="135"/>
        <v>0</v>
      </c>
      <c r="J1751" s="552"/>
      <c r="K1751" s="572"/>
      <c r="L1751" s="556"/>
      <c r="M1751" s="572"/>
      <c r="N1751" s="556"/>
      <c r="O1751" s="556"/>
    </row>
    <row r="1752" spans="3:15">
      <c r="C1752" s="548">
        <f>IF(D1715="","-",+C1751+1)</f>
        <v>2046</v>
      </c>
      <c r="D1752" s="506">
        <f t="shared" si="131"/>
        <v>5246962.9583823532</v>
      </c>
      <c r="E1752" s="549">
        <f t="shared" si="136"/>
        <v>1499132.2738235295</v>
      </c>
      <c r="F1752" s="506">
        <f t="shared" si="132"/>
        <v>3747830.6845588237</v>
      </c>
      <c r="G1752" s="554">
        <f t="shared" si="133"/>
        <v>2169796.6333044181</v>
      </c>
      <c r="H1752" s="555">
        <f t="shared" si="134"/>
        <v>2169796.6333044181</v>
      </c>
      <c r="I1752" s="552">
        <f t="shared" si="135"/>
        <v>0</v>
      </c>
      <c r="J1752" s="552"/>
      <c r="K1752" s="572"/>
      <c r="L1752" s="556"/>
      <c r="M1752" s="572"/>
      <c r="N1752" s="556"/>
      <c r="O1752" s="556"/>
    </row>
    <row r="1753" spans="3:15">
      <c r="C1753" s="548">
        <f>IF(D1715="","-",+C1752+1)</f>
        <v>2047</v>
      </c>
      <c r="D1753" s="506">
        <f t="shared" si="131"/>
        <v>3747830.6845588237</v>
      </c>
      <c r="E1753" s="549">
        <f t="shared" si="136"/>
        <v>1499132.2738235295</v>
      </c>
      <c r="F1753" s="506">
        <f t="shared" si="132"/>
        <v>2248698.4107352942</v>
      </c>
      <c r="G1753" s="554">
        <f t="shared" si="133"/>
        <v>1946241.8468107886</v>
      </c>
      <c r="H1753" s="555">
        <f t="shared" si="134"/>
        <v>1946241.8468107886</v>
      </c>
      <c r="I1753" s="552">
        <f t="shared" si="135"/>
        <v>0</v>
      </c>
      <c r="J1753" s="552"/>
      <c r="K1753" s="572"/>
      <c r="L1753" s="556"/>
      <c r="M1753" s="572"/>
      <c r="N1753" s="556"/>
      <c r="O1753" s="556"/>
    </row>
    <row r="1754" spans="3:15">
      <c r="C1754" s="548">
        <f>IF(D1715="","-",+C1753+1)</f>
        <v>2048</v>
      </c>
      <c r="D1754" s="506">
        <f t="shared" si="131"/>
        <v>2248698.4107352942</v>
      </c>
      <c r="E1754" s="549">
        <f t="shared" si="136"/>
        <v>1499132.2738235295</v>
      </c>
      <c r="F1754" s="506">
        <f t="shared" si="132"/>
        <v>749566.13691176474</v>
      </c>
      <c r="G1754" s="554">
        <f t="shared" si="133"/>
        <v>1722687.0603171592</v>
      </c>
      <c r="H1754" s="555">
        <f t="shared" si="134"/>
        <v>1722687.0603171592</v>
      </c>
      <c r="I1754" s="552">
        <f t="shared" si="135"/>
        <v>0</v>
      </c>
      <c r="J1754" s="552"/>
      <c r="K1754" s="572"/>
      <c r="L1754" s="556"/>
      <c r="M1754" s="572"/>
      <c r="N1754" s="556"/>
      <c r="O1754" s="556"/>
    </row>
    <row r="1755" spans="3:15">
      <c r="C1755" s="548">
        <f>IF(D1715="","-",+C1754+1)</f>
        <v>2049</v>
      </c>
      <c r="D1755" s="506">
        <f t="shared" si="131"/>
        <v>749566.13691176474</v>
      </c>
      <c r="E1755" s="549">
        <f t="shared" si="136"/>
        <v>749566.13691176474</v>
      </c>
      <c r="F1755" s="506">
        <f t="shared" si="132"/>
        <v>0</v>
      </c>
      <c r="G1755" s="554">
        <f t="shared" si="133"/>
        <v>805454.83353517216</v>
      </c>
      <c r="H1755" s="555">
        <f t="shared" si="134"/>
        <v>805454.83353517216</v>
      </c>
      <c r="I1755" s="552">
        <f t="shared" si="135"/>
        <v>0</v>
      </c>
      <c r="J1755" s="552"/>
      <c r="K1755" s="572"/>
      <c r="L1755" s="556"/>
      <c r="M1755" s="572"/>
      <c r="N1755" s="556"/>
      <c r="O1755" s="556"/>
    </row>
    <row r="1756" spans="3:15">
      <c r="C1756" s="548">
        <f>IF(D1715="","-",+C1755+1)</f>
        <v>2050</v>
      </c>
      <c r="D1756" s="506">
        <f t="shared" si="131"/>
        <v>0</v>
      </c>
      <c r="E1756" s="549">
        <f t="shared" si="136"/>
        <v>0</v>
      </c>
      <c r="F1756" s="506">
        <f t="shared" si="132"/>
        <v>0</v>
      </c>
      <c r="G1756" s="554">
        <f t="shared" si="133"/>
        <v>0</v>
      </c>
      <c r="H1756" s="555">
        <f t="shared" si="134"/>
        <v>0</v>
      </c>
      <c r="I1756" s="552">
        <f t="shared" si="135"/>
        <v>0</v>
      </c>
      <c r="J1756" s="552"/>
      <c r="K1756" s="572"/>
      <c r="L1756" s="556"/>
      <c r="M1756" s="572"/>
      <c r="N1756" s="556"/>
      <c r="O1756" s="556"/>
    </row>
    <row r="1757" spans="3:15">
      <c r="C1757" s="548">
        <f>IF(D1715="","-",+C1756+1)</f>
        <v>2051</v>
      </c>
      <c r="D1757" s="506">
        <f t="shared" si="131"/>
        <v>0</v>
      </c>
      <c r="E1757" s="549">
        <f t="shared" si="136"/>
        <v>0</v>
      </c>
      <c r="F1757" s="506">
        <f t="shared" si="132"/>
        <v>0</v>
      </c>
      <c r="G1757" s="554">
        <f t="shared" si="133"/>
        <v>0</v>
      </c>
      <c r="H1757" s="555">
        <f t="shared" si="134"/>
        <v>0</v>
      </c>
      <c r="I1757" s="552">
        <f t="shared" si="135"/>
        <v>0</v>
      </c>
      <c r="J1757" s="552"/>
      <c r="K1757" s="572"/>
      <c r="L1757" s="556"/>
      <c r="M1757" s="572"/>
      <c r="N1757" s="556"/>
      <c r="O1757" s="556"/>
    </row>
    <row r="1758" spans="3:15">
      <c r="C1758" s="548">
        <f>IF(D1715="","-",+C1757+1)</f>
        <v>2052</v>
      </c>
      <c r="D1758" s="506">
        <f t="shared" si="131"/>
        <v>0</v>
      </c>
      <c r="E1758" s="549">
        <f t="shared" si="136"/>
        <v>0</v>
      </c>
      <c r="F1758" s="506">
        <f t="shared" si="132"/>
        <v>0</v>
      </c>
      <c r="G1758" s="554">
        <f t="shared" si="133"/>
        <v>0</v>
      </c>
      <c r="H1758" s="555">
        <f t="shared" si="134"/>
        <v>0</v>
      </c>
      <c r="I1758" s="552">
        <f t="shared" si="135"/>
        <v>0</v>
      </c>
      <c r="J1758" s="552"/>
      <c r="K1758" s="572"/>
      <c r="L1758" s="556"/>
      <c r="M1758" s="572"/>
      <c r="N1758" s="556"/>
      <c r="O1758" s="556"/>
    </row>
    <row r="1759" spans="3:15">
      <c r="C1759" s="548">
        <f>IF(D1715="","-",+C1758+1)</f>
        <v>2053</v>
      </c>
      <c r="D1759" s="506">
        <f t="shared" si="131"/>
        <v>0</v>
      </c>
      <c r="E1759" s="549">
        <f t="shared" si="136"/>
        <v>0</v>
      </c>
      <c r="F1759" s="506">
        <f t="shared" si="132"/>
        <v>0</v>
      </c>
      <c r="G1759" s="554">
        <f t="shared" si="133"/>
        <v>0</v>
      </c>
      <c r="H1759" s="555">
        <f t="shared" si="134"/>
        <v>0</v>
      </c>
      <c r="I1759" s="552">
        <f t="shared" si="135"/>
        <v>0</v>
      </c>
      <c r="J1759" s="552"/>
      <c r="K1759" s="572"/>
      <c r="L1759" s="556"/>
      <c r="M1759" s="572"/>
      <c r="N1759" s="556"/>
      <c r="O1759" s="556"/>
    </row>
    <row r="1760" spans="3:15">
      <c r="C1760" s="548">
        <f>IF(D1715="","-",+C1759+1)</f>
        <v>2054</v>
      </c>
      <c r="D1760" s="506">
        <f t="shared" si="131"/>
        <v>0</v>
      </c>
      <c r="E1760" s="549">
        <f t="shared" si="136"/>
        <v>0</v>
      </c>
      <c r="F1760" s="506">
        <f t="shared" si="132"/>
        <v>0</v>
      </c>
      <c r="G1760" s="554">
        <f t="shared" si="133"/>
        <v>0</v>
      </c>
      <c r="H1760" s="555">
        <f t="shared" si="134"/>
        <v>0</v>
      </c>
      <c r="I1760" s="552">
        <f t="shared" si="135"/>
        <v>0</v>
      </c>
      <c r="J1760" s="552"/>
      <c r="K1760" s="572"/>
      <c r="L1760" s="556"/>
      <c r="M1760" s="572"/>
      <c r="N1760" s="556"/>
      <c r="O1760" s="556"/>
    </row>
    <row r="1761" spans="3:15">
      <c r="C1761" s="548">
        <f>IF(D1715="","-",+C1760+1)</f>
        <v>2055</v>
      </c>
      <c r="D1761" s="506">
        <f t="shared" si="131"/>
        <v>0</v>
      </c>
      <c r="E1761" s="549">
        <f t="shared" si="136"/>
        <v>0</v>
      </c>
      <c r="F1761" s="506">
        <f t="shared" si="132"/>
        <v>0</v>
      </c>
      <c r="G1761" s="554">
        <f t="shared" si="133"/>
        <v>0</v>
      </c>
      <c r="H1761" s="555">
        <f t="shared" si="134"/>
        <v>0</v>
      </c>
      <c r="I1761" s="552">
        <f t="shared" si="135"/>
        <v>0</v>
      </c>
      <c r="J1761" s="552"/>
      <c r="K1761" s="572"/>
      <c r="L1761" s="556"/>
      <c r="M1761" s="572"/>
      <c r="N1761" s="556"/>
      <c r="O1761" s="556"/>
    </row>
    <row r="1762" spans="3:15">
      <c r="C1762" s="548">
        <f>IF(D1715="","-",+C1761+1)</f>
        <v>2056</v>
      </c>
      <c r="D1762" s="506">
        <f t="shared" si="131"/>
        <v>0</v>
      </c>
      <c r="E1762" s="549">
        <f t="shared" si="136"/>
        <v>0</v>
      </c>
      <c r="F1762" s="506">
        <f t="shared" si="132"/>
        <v>0</v>
      </c>
      <c r="G1762" s="554">
        <f t="shared" si="133"/>
        <v>0</v>
      </c>
      <c r="H1762" s="555">
        <f t="shared" si="134"/>
        <v>0</v>
      </c>
      <c r="I1762" s="552">
        <f t="shared" si="135"/>
        <v>0</v>
      </c>
      <c r="J1762" s="552"/>
      <c r="K1762" s="572"/>
      <c r="L1762" s="556"/>
      <c r="M1762" s="572"/>
      <c r="N1762" s="556"/>
      <c r="O1762" s="556"/>
    </row>
    <row r="1763" spans="3:15">
      <c r="C1763" s="548">
        <f>IF(D1715="","-",+C1762+1)</f>
        <v>2057</v>
      </c>
      <c r="D1763" s="506">
        <f t="shared" si="131"/>
        <v>0</v>
      </c>
      <c r="E1763" s="549">
        <f t="shared" si="136"/>
        <v>0</v>
      </c>
      <c r="F1763" s="506">
        <f t="shared" si="132"/>
        <v>0</v>
      </c>
      <c r="G1763" s="554">
        <f t="shared" si="133"/>
        <v>0</v>
      </c>
      <c r="H1763" s="555">
        <f t="shared" si="134"/>
        <v>0</v>
      </c>
      <c r="I1763" s="552">
        <f t="shared" si="135"/>
        <v>0</v>
      </c>
      <c r="J1763" s="552"/>
      <c r="K1763" s="572"/>
      <c r="L1763" s="556"/>
      <c r="M1763" s="572"/>
      <c r="N1763" s="556"/>
      <c r="O1763" s="556"/>
    </row>
    <row r="1764" spans="3:15">
      <c r="C1764" s="548">
        <f>IF(D1715="","-",+C1763+1)</f>
        <v>2058</v>
      </c>
      <c r="D1764" s="506">
        <f t="shared" si="131"/>
        <v>0</v>
      </c>
      <c r="E1764" s="549">
        <f t="shared" si="136"/>
        <v>0</v>
      </c>
      <c r="F1764" s="506">
        <f t="shared" si="132"/>
        <v>0</v>
      </c>
      <c r="G1764" s="554">
        <f t="shared" si="133"/>
        <v>0</v>
      </c>
      <c r="H1764" s="555">
        <f t="shared" si="134"/>
        <v>0</v>
      </c>
      <c r="I1764" s="552">
        <f t="shared" si="135"/>
        <v>0</v>
      </c>
      <c r="J1764" s="552"/>
      <c r="K1764" s="572"/>
      <c r="L1764" s="556"/>
      <c r="M1764" s="572"/>
      <c r="N1764" s="556"/>
      <c r="O1764" s="556"/>
    </row>
    <row r="1765" spans="3:15">
      <c r="C1765" s="548">
        <f>IF(D1715="","-",+C1764+1)</f>
        <v>2059</v>
      </c>
      <c r="D1765" s="506">
        <f t="shared" si="131"/>
        <v>0</v>
      </c>
      <c r="E1765" s="549">
        <f t="shared" si="136"/>
        <v>0</v>
      </c>
      <c r="F1765" s="506">
        <f t="shared" si="132"/>
        <v>0</v>
      </c>
      <c r="G1765" s="554">
        <f t="shared" si="133"/>
        <v>0</v>
      </c>
      <c r="H1765" s="555">
        <f t="shared" si="134"/>
        <v>0</v>
      </c>
      <c r="I1765" s="552">
        <f t="shared" si="135"/>
        <v>0</v>
      </c>
      <c r="J1765" s="552"/>
      <c r="K1765" s="572"/>
      <c r="L1765" s="556"/>
      <c r="M1765" s="572"/>
      <c r="N1765" s="556"/>
      <c r="O1765" s="556"/>
    </row>
    <row r="1766" spans="3:15">
      <c r="C1766" s="548">
        <f>IF(D1715="","-",+C1765+1)</f>
        <v>2060</v>
      </c>
      <c r="D1766" s="506">
        <f t="shared" si="131"/>
        <v>0</v>
      </c>
      <c r="E1766" s="549">
        <f t="shared" si="136"/>
        <v>0</v>
      </c>
      <c r="F1766" s="506">
        <f t="shared" si="132"/>
        <v>0</v>
      </c>
      <c r="G1766" s="554">
        <f t="shared" si="133"/>
        <v>0</v>
      </c>
      <c r="H1766" s="555">
        <f t="shared" si="134"/>
        <v>0</v>
      </c>
      <c r="I1766" s="552">
        <f t="shared" si="135"/>
        <v>0</v>
      </c>
      <c r="J1766" s="552"/>
      <c r="K1766" s="572"/>
      <c r="L1766" s="556"/>
      <c r="M1766" s="572"/>
      <c r="N1766" s="556"/>
      <c r="O1766" s="556"/>
    </row>
    <row r="1767" spans="3:15">
      <c r="C1767" s="548">
        <f>IF(D1715="","-",+C1766+1)</f>
        <v>2061</v>
      </c>
      <c r="D1767" s="506">
        <f t="shared" si="131"/>
        <v>0</v>
      </c>
      <c r="E1767" s="549">
        <f t="shared" si="136"/>
        <v>0</v>
      </c>
      <c r="F1767" s="506">
        <f t="shared" si="132"/>
        <v>0</v>
      </c>
      <c r="G1767" s="554">
        <f t="shared" si="133"/>
        <v>0</v>
      </c>
      <c r="H1767" s="555">
        <f t="shared" si="134"/>
        <v>0</v>
      </c>
      <c r="I1767" s="552">
        <f t="shared" si="135"/>
        <v>0</v>
      </c>
      <c r="J1767" s="552"/>
      <c r="K1767" s="572"/>
      <c r="L1767" s="556"/>
      <c r="M1767" s="572"/>
      <c r="N1767" s="556"/>
      <c r="O1767" s="556"/>
    </row>
    <row r="1768" spans="3:15">
      <c r="C1768" s="548">
        <f>IF(D1715="","-",+C1767+1)</f>
        <v>2062</v>
      </c>
      <c r="D1768" s="506">
        <f t="shared" si="131"/>
        <v>0</v>
      </c>
      <c r="E1768" s="549">
        <f t="shared" si="136"/>
        <v>0</v>
      </c>
      <c r="F1768" s="506">
        <f t="shared" si="132"/>
        <v>0</v>
      </c>
      <c r="G1768" s="554">
        <f t="shared" si="133"/>
        <v>0</v>
      </c>
      <c r="H1768" s="555">
        <f t="shared" si="134"/>
        <v>0</v>
      </c>
      <c r="I1768" s="552">
        <f t="shared" si="135"/>
        <v>0</v>
      </c>
      <c r="J1768" s="552"/>
      <c r="K1768" s="572"/>
      <c r="L1768" s="556"/>
      <c r="M1768" s="572"/>
      <c r="N1768" s="556"/>
      <c r="O1768" s="556"/>
    </row>
    <row r="1769" spans="3:15">
      <c r="C1769" s="548">
        <f>IF(D1715="","-",+C1768+1)</f>
        <v>2063</v>
      </c>
      <c r="D1769" s="506">
        <f t="shared" si="131"/>
        <v>0</v>
      </c>
      <c r="E1769" s="549">
        <f t="shared" si="136"/>
        <v>0</v>
      </c>
      <c r="F1769" s="506">
        <f t="shared" si="132"/>
        <v>0</v>
      </c>
      <c r="G1769" s="554">
        <f t="shared" si="133"/>
        <v>0</v>
      </c>
      <c r="H1769" s="555">
        <f t="shared" si="134"/>
        <v>0</v>
      </c>
      <c r="I1769" s="552">
        <f t="shared" si="135"/>
        <v>0</v>
      </c>
      <c r="J1769" s="552"/>
      <c r="K1769" s="572"/>
      <c r="L1769" s="556"/>
      <c r="M1769" s="572"/>
      <c r="N1769" s="556"/>
      <c r="O1769" s="556"/>
    </row>
    <row r="1770" spans="3:15">
      <c r="C1770" s="548">
        <f>IF(D1715="","-",+C1769+1)</f>
        <v>2064</v>
      </c>
      <c r="D1770" s="506">
        <f t="shared" si="131"/>
        <v>0</v>
      </c>
      <c r="E1770" s="549">
        <f t="shared" si="136"/>
        <v>0</v>
      </c>
      <c r="F1770" s="506">
        <f t="shared" si="132"/>
        <v>0</v>
      </c>
      <c r="G1770" s="554">
        <f t="shared" si="133"/>
        <v>0</v>
      </c>
      <c r="H1770" s="555">
        <f t="shared" si="134"/>
        <v>0</v>
      </c>
      <c r="I1770" s="552">
        <f t="shared" si="135"/>
        <v>0</v>
      </c>
      <c r="J1770" s="552"/>
      <c r="K1770" s="572"/>
      <c r="L1770" s="556"/>
      <c r="M1770" s="572"/>
      <c r="N1770" s="556"/>
      <c r="O1770" s="556"/>
    </row>
    <row r="1771" spans="3:15">
      <c r="C1771" s="548">
        <f>IF(D1715="","-",+C1770+1)</f>
        <v>2065</v>
      </c>
      <c r="D1771" s="506">
        <f t="shared" si="131"/>
        <v>0</v>
      </c>
      <c r="E1771" s="549">
        <f t="shared" si="136"/>
        <v>0</v>
      </c>
      <c r="F1771" s="506">
        <f t="shared" si="132"/>
        <v>0</v>
      </c>
      <c r="G1771" s="554">
        <f t="shared" si="133"/>
        <v>0</v>
      </c>
      <c r="H1771" s="555">
        <f t="shared" si="134"/>
        <v>0</v>
      </c>
      <c r="I1771" s="552">
        <f t="shared" si="135"/>
        <v>0</v>
      </c>
      <c r="J1771" s="552"/>
      <c r="K1771" s="572"/>
      <c r="L1771" s="556"/>
      <c r="M1771" s="572"/>
      <c r="N1771" s="556"/>
      <c r="O1771" s="556"/>
    </row>
    <row r="1772" spans="3:15">
      <c r="C1772" s="548">
        <f>IF(D1715="","-",+C1771+1)</f>
        <v>2066</v>
      </c>
      <c r="D1772" s="506">
        <f t="shared" si="131"/>
        <v>0</v>
      </c>
      <c r="E1772" s="549">
        <f t="shared" si="136"/>
        <v>0</v>
      </c>
      <c r="F1772" s="506">
        <f t="shared" si="132"/>
        <v>0</v>
      </c>
      <c r="G1772" s="554">
        <f t="shared" si="133"/>
        <v>0</v>
      </c>
      <c r="H1772" s="555">
        <f t="shared" si="134"/>
        <v>0</v>
      </c>
      <c r="I1772" s="552">
        <f t="shared" si="135"/>
        <v>0</v>
      </c>
      <c r="J1772" s="552"/>
      <c r="K1772" s="572"/>
      <c r="L1772" s="556"/>
      <c r="M1772" s="572"/>
      <c r="N1772" s="556"/>
      <c r="O1772" s="556"/>
    </row>
    <row r="1773" spans="3:15">
      <c r="C1773" s="548">
        <f>IF(D1715="","-",+C1772+1)</f>
        <v>2067</v>
      </c>
      <c r="D1773" s="506">
        <f t="shared" si="131"/>
        <v>0</v>
      </c>
      <c r="E1773" s="549">
        <f t="shared" si="136"/>
        <v>0</v>
      </c>
      <c r="F1773" s="506">
        <f t="shared" si="132"/>
        <v>0</v>
      </c>
      <c r="G1773" s="554">
        <f t="shared" si="133"/>
        <v>0</v>
      </c>
      <c r="H1773" s="555">
        <f t="shared" si="134"/>
        <v>0</v>
      </c>
      <c r="I1773" s="552">
        <f t="shared" si="135"/>
        <v>0</v>
      </c>
      <c r="J1773" s="552"/>
      <c r="K1773" s="572"/>
      <c r="L1773" s="556"/>
      <c r="M1773" s="572"/>
      <c r="N1773" s="556"/>
      <c r="O1773" s="556"/>
    </row>
    <row r="1774" spans="3:15">
      <c r="C1774" s="548">
        <f>IF(D1715="","-",+C1773+1)</f>
        <v>2068</v>
      </c>
      <c r="D1774" s="506">
        <f t="shared" si="131"/>
        <v>0</v>
      </c>
      <c r="E1774" s="549">
        <f t="shared" si="136"/>
        <v>0</v>
      </c>
      <c r="F1774" s="506">
        <f t="shared" si="132"/>
        <v>0</v>
      </c>
      <c r="G1774" s="554">
        <f t="shared" si="133"/>
        <v>0</v>
      </c>
      <c r="H1774" s="555">
        <f t="shared" si="134"/>
        <v>0</v>
      </c>
      <c r="I1774" s="552">
        <f t="shared" si="135"/>
        <v>0</v>
      </c>
      <c r="J1774" s="552"/>
      <c r="K1774" s="572"/>
      <c r="L1774" s="556"/>
      <c r="M1774" s="572"/>
      <c r="N1774" s="556"/>
      <c r="O1774" s="556"/>
    </row>
    <row r="1775" spans="3:15">
      <c r="C1775" s="548">
        <f>IF(D1715="","-",+C1774+1)</f>
        <v>2069</v>
      </c>
      <c r="D1775" s="506">
        <f t="shared" si="131"/>
        <v>0</v>
      </c>
      <c r="E1775" s="549">
        <f t="shared" si="136"/>
        <v>0</v>
      </c>
      <c r="F1775" s="506">
        <f t="shared" si="132"/>
        <v>0</v>
      </c>
      <c r="G1775" s="554">
        <f t="shared" si="133"/>
        <v>0</v>
      </c>
      <c r="H1775" s="555">
        <f t="shared" si="134"/>
        <v>0</v>
      </c>
      <c r="I1775" s="552">
        <f t="shared" si="135"/>
        <v>0</v>
      </c>
      <c r="J1775" s="552"/>
      <c r="K1775" s="572"/>
      <c r="L1775" s="556"/>
      <c r="M1775" s="572"/>
      <c r="N1775" s="556"/>
      <c r="O1775" s="556"/>
    </row>
    <row r="1776" spans="3:15">
      <c r="C1776" s="548">
        <f>IF(D1715="","-",+C1775+1)</f>
        <v>2070</v>
      </c>
      <c r="D1776" s="506">
        <f t="shared" si="131"/>
        <v>0</v>
      </c>
      <c r="E1776" s="549">
        <f t="shared" si="136"/>
        <v>0</v>
      </c>
      <c r="F1776" s="506">
        <f t="shared" si="132"/>
        <v>0</v>
      </c>
      <c r="G1776" s="554">
        <f t="shared" si="133"/>
        <v>0</v>
      </c>
      <c r="H1776" s="555">
        <f t="shared" si="134"/>
        <v>0</v>
      </c>
      <c r="I1776" s="552">
        <f t="shared" si="135"/>
        <v>0</v>
      </c>
      <c r="J1776" s="552"/>
      <c r="K1776" s="572"/>
      <c r="L1776" s="556"/>
      <c r="M1776" s="572"/>
      <c r="N1776" s="556"/>
      <c r="O1776" s="556"/>
    </row>
    <row r="1777" spans="1:16">
      <c r="C1777" s="548">
        <f>IF(D1715="","-",+C1776+1)</f>
        <v>2071</v>
      </c>
      <c r="D1777" s="506">
        <f t="shared" si="131"/>
        <v>0</v>
      </c>
      <c r="E1777" s="549">
        <f t="shared" si="136"/>
        <v>0</v>
      </c>
      <c r="F1777" s="506">
        <f t="shared" si="132"/>
        <v>0</v>
      </c>
      <c r="G1777" s="554">
        <f t="shared" si="133"/>
        <v>0</v>
      </c>
      <c r="H1777" s="555">
        <f t="shared" si="134"/>
        <v>0</v>
      </c>
      <c r="I1777" s="552">
        <f t="shared" si="135"/>
        <v>0</v>
      </c>
      <c r="J1777" s="552"/>
      <c r="K1777" s="572"/>
      <c r="L1777" s="556"/>
      <c r="M1777" s="572"/>
      <c r="N1777" s="556"/>
      <c r="O1777" s="556"/>
    </row>
    <row r="1778" spans="1:16">
      <c r="C1778" s="548">
        <f>IF(D1715="","-",+C1777+1)</f>
        <v>2072</v>
      </c>
      <c r="D1778" s="506">
        <f t="shared" si="131"/>
        <v>0</v>
      </c>
      <c r="E1778" s="549">
        <f t="shared" si="136"/>
        <v>0</v>
      </c>
      <c r="F1778" s="506">
        <f t="shared" si="132"/>
        <v>0</v>
      </c>
      <c r="G1778" s="554">
        <f t="shared" si="133"/>
        <v>0</v>
      </c>
      <c r="H1778" s="555">
        <f t="shared" si="134"/>
        <v>0</v>
      </c>
      <c r="I1778" s="552">
        <f t="shared" si="135"/>
        <v>0</v>
      </c>
      <c r="J1778" s="552"/>
      <c r="K1778" s="572"/>
      <c r="L1778" s="556"/>
      <c r="M1778" s="572"/>
      <c r="N1778" s="556"/>
      <c r="O1778" s="556"/>
    </row>
    <row r="1779" spans="1:16">
      <c r="C1779" s="548">
        <f>IF(D1715="","-",+C1778+1)</f>
        <v>2073</v>
      </c>
      <c r="D1779" s="506">
        <f t="shared" si="131"/>
        <v>0</v>
      </c>
      <c r="E1779" s="549">
        <f t="shared" si="136"/>
        <v>0</v>
      </c>
      <c r="F1779" s="506">
        <f t="shared" si="132"/>
        <v>0</v>
      </c>
      <c r="G1779" s="554">
        <f t="shared" si="133"/>
        <v>0</v>
      </c>
      <c r="H1779" s="555">
        <f t="shared" si="134"/>
        <v>0</v>
      </c>
      <c r="I1779" s="552">
        <f t="shared" si="135"/>
        <v>0</v>
      </c>
      <c r="J1779" s="552"/>
      <c r="K1779" s="572"/>
      <c r="L1779" s="556"/>
      <c r="M1779" s="572"/>
      <c r="N1779" s="556"/>
      <c r="O1779" s="556"/>
    </row>
    <row r="1780" spans="1:16" ht="13.5" thickBot="1">
      <c r="C1780" s="558">
        <f>IF(D1715="","-",+C1779+1)</f>
        <v>2074</v>
      </c>
      <c r="D1780" s="559">
        <f t="shared" si="131"/>
        <v>0</v>
      </c>
      <c r="E1780" s="560">
        <f t="shared" si="136"/>
        <v>0</v>
      </c>
      <c r="F1780" s="559">
        <f t="shared" si="132"/>
        <v>0</v>
      </c>
      <c r="G1780" s="561">
        <f t="shared" si="133"/>
        <v>0</v>
      </c>
      <c r="H1780" s="561">
        <f t="shared" si="134"/>
        <v>0</v>
      </c>
      <c r="I1780" s="562">
        <f t="shared" si="135"/>
        <v>0</v>
      </c>
      <c r="J1780" s="552"/>
      <c r="K1780" s="573"/>
      <c r="L1780" s="563"/>
      <c r="M1780" s="573"/>
      <c r="N1780" s="563"/>
      <c r="O1780" s="563"/>
    </row>
    <row r="1781" spans="1:16">
      <c r="C1781" s="506" t="s">
        <v>83</v>
      </c>
      <c r="D1781" s="503"/>
      <c r="E1781" s="503">
        <f>SUM(E1721:E1780)</f>
        <v>50970497.310000002</v>
      </c>
      <c r="F1781" s="503"/>
      <c r="G1781" s="503">
        <f>SUM(G1721:G1780)</f>
        <v>183985595.27370957</v>
      </c>
      <c r="H1781" s="503">
        <f>SUM(H1721:H1780)</f>
        <v>183985595.27370957</v>
      </c>
      <c r="I1781" s="503">
        <f>SUM(I1721:I1780)</f>
        <v>0</v>
      </c>
      <c r="J1781" s="503"/>
      <c r="K1781" s="503"/>
      <c r="L1781" s="503"/>
      <c r="M1781" s="503"/>
      <c r="N1781" s="503"/>
      <c r="O1781" s="3"/>
    </row>
    <row r="1782" spans="1:16">
      <c r="D1782" s="47"/>
      <c r="E1782" s="3"/>
      <c r="F1782" s="3"/>
      <c r="G1782" s="3"/>
      <c r="H1782" s="490"/>
      <c r="I1782" s="490"/>
      <c r="J1782" s="503"/>
      <c r="K1782" s="490"/>
      <c r="L1782" s="490"/>
      <c r="M1782" s="490"/>
      <c r="N1782" s="490"/>
      <c r="O1782" s="3"/>
    </row>
    <row r="1783" spans="1:16">
      <c r="C1783" s="3" t="s">
        <v>13</v>
      </c>
      <c r="D1783" s="47"/>
      <c r="E1783" s="3"/>
      <c r="F1783" s="3"/>
      <c r="G1783" s="3"/>
      <c r="H1783" s="490"/>
      <c r="I1783" s="490"/>
      <c r="J1783" s="503"/>
      <c r="K1783" s="490"/>
      <c r="L1783" s="490"/>
      <c r="M1783" s="490"/>
      <c r="N1783" s="490"/>
      <c r="O1783" s="3"/>
    </row>
    <row r="1784" spans="1:16">
      <c r="C1784" s="3"/>
      <c r="D1784" s="47"/>
      <c r="E1784" s="3"/>
      <c r="F1784" s="3"/>
      <c r="G1784" s="3"/>
      <c r="H1784" s="490"/>
      <c r="I1784" s="490"/>
      <c r="J1784" s="503"/>
      <c r="K1784" s="490"/>
      <c r="L1784" s="490"/>
      <c r="M1784" s="490"/>
      <c r="N1784" s="490"/>
      <c r="O1784" s="3"/>
    </row>
    <row r="1785" spans="1:16">
      <c r="C1785" s="518" t="s">
        <v>14</v>
      </c>
      <c r="D1785" s="506"/>
      <c r="E1785" s="506"/>
      <c r="F1785" s="506"/>
      <c r="G1785" s="503"/>
      <c r="H1785" s="503"/>
      <c r="I1785" s="564"/>
      <c r="J1785" s="564"/>
      <c r="K1785" s="564"/>
      <c r="L1785" s="564"/>
      <c r="M1785" s="564"/>
      <c r="N1785" s="564"/>
      <c r="O1785" s="3"/>
    </row>
    <row r="1786" spans="1:16">
      <c r="C1786" s="507" t="s">
        <v>263</v>
      </c>
      <c r="D1786" s="506"/>
      <c r="E1786" s="506"/>
      <c r="F1786" s="506"/>
      <c r="G1786" s="503"/>
      <c r="H1786" s="503"/>
      <c r="I1786" s="564"/>
      <c r="J1786" s="564"/>
      <c r="K1786" s="564"/>
      <c r="L1786" s="564"/>
      <c r="M1786" s="564"/>
      <c r="N1786" s="564"/>
      <c r="O1786" s="3"/>
    </row>
    <row r="1787" spans="1:16">
      <c r="C1787" s="507" t="s">
        <v>84</v>
      </c>
      <c r="D1787" s="506"/>
      <c r="E1787" s="506"/>
      <c r="F1787" s="506"/>
      <c r="G1787" s="503"/>
      <c r="H1787" s="503"/>
      <c r="I1787" s="564"/>
      <c r="J1787" s="564"/>
      <c r="K1787" s="564"/>
      <c r="L1787" s="564"/>
      <c r="M1787" s="564"/>
      <c r="N1787" s="564"/>
      <c r="O1787" s="3"/>
    </row>
    <row r="1788" spans="1:16">
      <c r="C1788" s="507"/>
      <c r="D1788" s="506"/>
      <c r="E1788" s="506"/>
      <c r="F1788" s="506"/>
      <c r="G1788" s="503"/>
      <c r="H1788" s="503"/>
      <c r="I1788" s="564"/>
      <c r="J1788" s="564"/>
      <c r="K1788" s="564"/>
      <c r="L1788" s="564"/>
      <c r="M1788" s="564"/>
      <c r="N1788" s="564"/>
      <c r="O1788" s="3"/>
    </row>
    <row r="1789" spans="1:16">
      <c r="C1789" s="1200" t="s">
        <v>6</v>
      </c>
      <c r="D1789" s="1200"/>
      <c r="E1789" s="1200"/>
      <c r="F1789" s="1200"/>
      <c r="G1789" s="1200"/>
      <c r="H1789" s="1200"/>
      <c r="I1789" s="1200"/>
      <c r="J1789" s="1200"/>
      <c r="K1789" s="1200"/>
      <c r="L1789" s="1200"/>
      <c r="M1789" s="1200"/>
      <c r="N1789" s="1200"/>
      <c r="O1789" s="1200"/>
    </row>
    <row r="1790" spans="1:16">
      <c r="C1790" s="1200"/>
      <c r="D1790" s="1200"/>
      <c r="E1790" s="1200"/>
      <c r="F1790" s="1200"/>
      <c r="G1790" s="1200"/>
      <c r="H1790" s="1200"/>
      <c r="I1790" s="1200"/>
      <c r="J1790" s="1200"/>
      <c r="K1790" s="1200"/>
      <c r="L1790" s="1200"/>
      <c r="M1790" s="1200"/>
      <c r="N1790" s="1200"/>
      <c r="O1790" s="1200"/>
    </row>
    <row r="1791" spans="1:16">
      <c r="C1791" s="507"/>
      <c r="D1791" s="506"/>
      <c r="E1791" s="506"/>
      <c r="F1791" s="506"/>
      <c r="G1791" s="503"/>
      <c r="H1791" s="503"/>
    </row>
    <row r="1792" spans="1:16" ht="20.25">
      <c r="A1792" s="447" t="str">
        <f>""&amp;A1716&amp;" Worksheet J -  ATRR PROJECTED Calculation for PJM Projects Charged to Benefiting Zones"</f>
        <v xml:space="preserve"> Worksheet J -  ATRR PROJECTED Calculation for PJM Projects Charged to Benefiting Zones</v>
      </c>
      <c r="B1792" s="3"/>
      <c r="C1792" s="3"/>
      <c r="D1792" s="47"/>
      <c r="E1792" s="3"/>
      <c r="F1792" s="489"/>
      <c r="G1792" s="3"/>
      <c r="H1792" s="490"/>
      <c r="K1792" s="398"/>
      <c r="L1792" s="398"/>
      <c r="M1792" s="398"/>
      <c r="N1792" s="398" t="str">
        <f>"Page "&amp;SUM(P$8:P1792)&amp;" of "</f>
        <v xml:space="preserve">Page 21 of </v>
      </c>
      <c r="O1792" s="448">
        <f>COUNT(P$8:P$56653)</f>
        <v>23</v>
      </c>
      <c r="P1792">
        <v>1</v>
      </c>
    </row>
    <row r="1793" spans="2:15">
      <c r="B1793" s="3"/>
      <c r="C1793" s="3"/>
      <c r="D1793" s="47"/>
      <c r="E1793" s="3"/>
      <c r="F1793" s="3"/>
      <c r="G1793" s="3"/>
      <c r="H1793" s="490"/>
      <c r="I1793" s="3"/>
      <c r="J1793" s="3"/>
      <c r="K1793" s="3"/>
      <c r="L1793" s="3"/>
      <c r="M1793" s="3"/>
      <c r="N1793" s="3"/>
      <c r="O1793" s="3"/>
    </row>
    <row r="1794" spans="2:15" ht="18">
      <c r="B1794" s="449" t="s">
        <v>464</v>
      </c>
      <c r="C1794" s="122" t="s">
        <v>85</v>
      </c>
      <c r="D1794" s="47"/>
      <c r="E1794" s="3"/>
      <c r="F1794" s="3"/>
      <c r="G1794" s="3"/>
      <c r="H1794" s="490"/>
      <c r="I1794" s="490"/>
      <c r="J1794" s="503"/>
      <c r="K1794" s="490"/>
      <c r="L1794" s="490"/>
      <c r="M1794" s="490"/>
      <c r="N1794" s="490"/>
      <c r="O1794" s="3"/>
    </row>
    <row r="1795" spans="2:15" ht="18.75">
      <c r="B1795" s="449"/>
      <c r="C1795" s="6"/>
      <c r="D1795" s="47"/>
      <c r="E1795" s="3"/>
      <c r="F1795" s="3"/>
      <c r="G1795" s="3"/>
      <c r="H1795" s="490"/>
      <c r="I1795" s="490"/>
      <c r="J1795" s="503"/>
      <c r="K1795" s="490"/>
      <c r="L1795" s="490"/>
      <c r="M1795" s="490"/>
      <c r="N1795" s="490"/>
      <c r="O1795" s="3"/>
    </row>
    <row r="1796" spans="2:15" ht="18.75">
      <c r="B1796" s="449"/>
      <c r="C1796" s="6" t="s">
        <v>86</v>
      </c>
      <c r="D1796" s="47"/>
      <c r="E1796" s="3"/>
      <c r="F1796" s="3"/>
      <c r="G1796" s="3"/>
      <c r="H1796" s="490"/>
      <c r="I1796" s="490"/>
      <c r="J1796" s="503"/>
      <c r="K1796" s="490"/>
      <c r="L1796" s="490"/>
      <c r="M1796" s="490"/>
      <c r="N1796" s="490"/>
      <c r="O1796" s="3"/>
    </row>
    <row r="1797" spans="2:15" ht="15.75" thickBot="1">
      <c r="C1797" s="131"/>
      <c r="D1797" s="47"/>
      <c r="E1797" s="3"/>
      <c r="F1797" s="3"/>
      <c r="G1797" s="3"/>
      <c r="H1797" s="490"/>
      <c r="I1797" s="490"/>
      <c r="J1797" s="503"/>
      <c r="K1797" s="490"/>
      <c r="L1797" s="490"/>
      <c r="M1797" s="490"/>
      <c r="N1797" s="490"/>
      <c r="O1797" s="3"/>
    </row>
    <row r="1798" spans="2:15" ht="15.75">
      <c r="C1798" s="451" t="s">
        <v>87</v>
      </c>
      <c r="D1798" s="47"/>
      <c r="E1798" s="3"/>
      <c r="F1798" s="3"/>
      <c r="G1798" s="566"/>
      <c r="H1798" s="3" t="s">
        <v>66</v>
      </c>
      <c r="I1798" s="3"/>
      <c r="J1798" s="3"/>
      <c r="K1798" s="509" t="s">
        <v>91</v>
      </c>
      <c r="L1798" s="510"/>
      <c r="M1798" s="511"/>
      <c r="N1798" s="512">
        <f>IF(I1804=0,0,VLOOKUP(I1804,C1811:O1870,5))</f>
        <v>6807641.9904836845</v>
      </c>
      <c r="O1798" s="3"/>
    </row>
    <row r="1799" spans="2:15" ht="15.75">
      <c r="C1799" s="451"/>
      <c r="D1799" s="47"/>
      <c r="E1799" s="3"/>
      <c r="F1799" s="3"/>
      <c r="G1799" s="3"/>
      <c r="H1799" s="513"/>
      <c r="I1799" s="513"/>
      <c r="J1799" s="514"/>
      <c r="K1799" s="515" t="s">
        <v>92</v>
      </c>
      <c r="L1799" s="516"/>
      <c r="M1799" s="3"/>
      <c r="N1799" s="517">
        <f>IF(I1804=0,0,VLOOKUP(I1804,C1811:O1870,6))</f>
        <v>6807641.9904836845</v>
      </c>
      <c r="O1799" s="3"/>
    </row>
    <row r="1800" spans="2:15" ht="13.5" thickBot="1">
      <c r="C1800" s="518" t="s">
        <v>88</v>
      </c>
      <c r="D1800" s="1194" t="s">
        <v>823</v>
      </c>
      <c r="E1800" s="1194"/>
      <c r="F1800" s="1194"/>
      <c r="G1800" s="1194"/>
      <c r="H1800" s="1194"/>
      <c r="I1800" s="1194"/>
      <c r="J1800" s="503"/>
      <c r="K1800" s="519" t="s">
        <v>230</v>
      </c>
      <c r="L1800" s="520"/>
      <c r="M1800" s="520"/>
      <c r="N1800" s="521">
        <f>+N1799-N1798</f>
        <v>0</v>
      </c>
      <c r="O1800" s="3"/>
    </row>
    <row r="1801" spans="2:15">
      <c r="C1801" s="522"/>
      <c r="D1801" s="523"/>
      <c r="E1801" s="506"/>
      <c r="F1801" s="506"/>
      <c r="G1801" s="524"/>
      <c r="H1801" s="490"/>
      <c r="I1801" s="490"/>
      <c r="J1801" s="503"/>
      <c r="K1801" s="490"/>
      <c r="L1801" s="490"/>
      <c r="M1801" s="490"/>
      <c r="N1801" s="490"/>
      <c r="O1801" s="3"/>
    </row>
    <row r="1802" spans="2:15" ht="13.5" thickBot="1">
      <c r="C1802" s="522"/>
      <c r="D1802" s="3"/>
      <c r="E1802" s="524"/>
      <c r="F1802" s="524"/>
      <c r="G1802" s="524"/>
      <c r="H1802" s="524"/>
      <c r="I1802" s="524"/>
      <c r="J1802" s="524"/>
      <c r="K1802" s="524"/>
      <c r="L1802" s="524"/>
      <c r="M1802" s="524"/>
      <c r="N1802" s="524"/>
      <c r="O1802" s="3"/>
    </row>
    <row r="1803" spans="2:15" ht="13.5" thickBot="1">
      <c r="C1803" s="525" t="s">
        <v>89</v>
      </c>
      <c r="D1803" s="526"/>
      <c r="E1803" s="526"/>
      <c r="F1803" s="526"/>
      <c r="G1803" s="526"/>
      <c r="H1803" s="526"/>
      <c r="I1803" s="527"/>
      <c r="K1803" s="3"/>
      <c r="L1803" s="3"/>
      <c r="M1803" s="3"/>
      <c r="N1803" s="3"/>
      <c r="O1803" s="3"/>
    </row>
    <row r="1804" spans="2:15" ht="15">
      <c r="C1804" s="528" t="s">
        <v>67</v>
      </c>
      <c r="D1804" s="568">
        <v>52397331.300000004</v>
      </c>
      <c r="E1804" s="3" t="s">
        <v>68</v>
      </c>
      <c r="G1804" s="47"/>
      <c r="H1804" s="47"/>
      <c r="I1804" s="529">
        <f>$L$26</f>
        <v>2026</v>
      </c>
      <c r="J1804" s="70"/>
      <c r="K1804" s="1193" t="s">
        <v>239</v>
      </c>
      <c r="L1804" s="1193"/>
      <c r="M1804" s="1193"/>
      <c r="N1804" s="1193"/>
      <c r="O1804" s="1193"/>
    </row>
    <row r="1805" spans="2:15">
      <c r="C1805" s="528" t="s">
        <v>70</v>
      </c>
      <c r="D1805" s="569">
        <v>2015</v>
      </c>
      <c r="E1805" s="528" t="s">
        <v>71</v>
      </c>
      <c r="F1805" s="47"/>
      <c r="H1805"/>
      <c r="I1805" s="570">
        <f>IF(G1798="",0,$F$17)</f>
        <v>0</v>
      </c>
      <c r="J1805" s="530"/>
      <c r="K1805" s="503" t="s">
        <v>239</v>
      </c>
    </row>
    <row r="1806" spans="2:15">
      <c r="C1806" s="528" t="s">
        <v>72</v>
      </c>
      <c r="D1806" s="568">
        <v>5</v>
      </c>
      <c r="E1806" s="528" t="s">
        <v>73</v>
      </c>
      <c r="F1806" s="47"/>
      <c r="H1806"/>
      <c r="I1806" s="531">
        <f>$G$70</f>
        <v>0.14912278949438812</v>
      </c>
      <c r="J1806" s="489"/>
      <c r="K1806" t="str">
        <f>"          INPUT PROJECTED ARR (WITH &amp; WITHOUT INCENTIVES) FROM EACH PRIOR YEAR"</f>
        <v xml:space="preserve">          INPUT PROJECTED ARR (WITH &amp; WITHOUT INCENTIVES) FROM EACH PRIOR YEAR</v>
      </c>
    </row>
    <row r="1807" spans="2:15">
      <c r="C1807" s="528" t="s">
        <v>74</v>
      </c>
      <c r="D1807" s="532">
        <f>$G$79</f>
        <v>34</v>
      </c>
      <c r="E1807" s="528" t="s">
        <v>75</v>
      </c>
      <c r="F1807" s="47"/>
      <c r="H1807"/>
      <c r="I1807" s="531">
        <f>IF(G1798="",I1806,$G$69)</f>
        <v>0.14912278949438812</v>
      </c>
      <c r="J1807" s="489"/>
      <c r="K1807" t="s">
        <v>152</v>
      </c>
    </row>
    <row r="1808" spans="2:15" ht="13.5" thickBot="1">
      <c r="C1808" s="528" t="s">
        <v>76</v>
      </c>
      <c r="D1808" s="567" t="s">
        <v>802</v>
      </c>
      <c r="E1808" s="533" t="s">
        <v>77</v>
      </c>
      <c r="F1808" s="534"/>
      <c r="G1808" s="535"/>
      <c r="H1808" s="535"/>
      <c r="I1808" s="521">
        <f>IF(D1804=0,0,D1804/D1807)</f>
        <v>1541097.9794117648</v>
      </c>
      <c r="J1808" s="503"/>
      <c r="K1808" s="503" t="s">
        <v>158</v>
      </c>
      <c r="L1808" s="503"/>
      <c r="M1808" s="503"/>
      <c r="N1808" s="503"/>
      <c r="O1808" s="3"/>
    </row>
    <row r="1809" spans="2:15" ht="38.25">
      <c r="B1809" s="450"/>
      <c r="C1809" s="536" t="s">
        <v>67</v>
      </c>
      <c r="D1809" s="537" t="s">
        <v>78</v>
      </c>
      <c r="E1809" s="538" t="s">
        <v>79</v>
      </c>
      <c r="F1809" s="537" t="s">
        <v>80</v>
      </c>
      <c r="G1809" s="538" t="s">
        <v>151</v>
      </c>
      <c r="H1809" s="539" t="s">
        <v>151</v>
      </c>
      <c r="I1809" s="536" t="s">
        <v>90</v>
      </c>
      <c r="J1809" s="540"/>
      <c r="K1809" s="538" t="s">
        <v>160</v>
      </c>
      <c r="L1809" s="541"/>
      <c r="M1809" s="538" t="s">
        <v>160</v>
      </c>
      <c r="N1809" s="541"/>
      <c r="O1809" s="541"/>
    </row>
    <row r="1810" spans="2:15" ht="13.5" thickBot="1">
      <c r="C1810" s="542" t="s">
        <v>467</v>
      </c>
      <c r="D1810" s="543" t="s">
        <v>468</v>
      </c>
      <c r="E1810" s="542" t="s">
        <v>361</v>
      </c>
      <c r="F1810" s="543" t="s">
        <v>468</v>
      </c>
      <c r="G1810" s="544" t="s">
        <v>93</v>
      </c>
      <c r="H1810" s="545" t="s">
        <v>95</v>
      </c>
      <c r="I1810" s="542" t="s">
        <v>15</v>
      </c>
      <c r="J1810" s="546"/>
      <c r="K1810" s="544" t="s">
        <v>82</v>
      </c>
      <c r="L1810" s="547"/>
      <c r="M1810" s="544" t="s">
        <v>95</v>
      </c>
      <c r="N1810" s="547"/>
      <c r="O1810" s="547"/>
    </row>
    <row r="1811" spans="2:15">
      <c r="C1811" s="548">
        <f>IF(D1805= "","-",D1805)</f>
        <v>2015</v>
      </c>
      <c r="D1811" s="506">
        <f>+D1804</f>
        <v>52397331.300000004</v>
      </c>
      <c r="E1811" s="549">
        <f>+I1808/12*(12-D1806)</f>
        <v>898973.82132352947</v>
      </c>
      <c r="F1811" s="506">
        <f>+D1811-E1811</f>
        <v>51498357.478676476</v>
      </c>
      <c r="G1811" s="723">
        <f>+$I$96*((D1811+F1811)/2)+E1811</f>
        <v>8645581.2848820463</v>
      </c>
      <c r="H1811" s="724">
        <f>$I$97*((D1811+F1811)/2)+E1811</f>
        <v>8645581.2848820463</v>
      </c>
      <c r="I1811" s="552">
        <f>+H1811-G1811</f>
        <v>0</v>
      </c>
      <c r="J1811" s="552"/>
      <c r="K1811" s="571">
        <v>7243003</v>
      </c>
      <c r="L1811" s="553"/>
      <c r="M1811" s="571">
        <v>7243003</v>
      </c>
      <c r="N1811" s="553"/>
      <c r="O1811" s="553"/>
    </row>
    <row r="1812" spans="2:15">
      <c r="C1812" s="548">
        <f>IF(D1805="","-",+C1811+1)</f>
        <v>2016</v>
      </c>
      <c r="D1812" s="506">
        <f t="shared" ref="D1812:D1870" si="137">F1811</f>
        <v>51498357.478676476</v>
      </c>
      <c r="E1812" s="549">
        <f>IF(D1812&gt;$I$1808,$I$1808,D1812)</f>
        <v>1541097.9794117648</v>
      </c>
      <c r="F1812" s="506">
        <f t="shared" ref="F1812:F1870" si="138">+D1812-E1812</f>
        <v>49957259.49926471</v>
      </c>
      <c r="G1812" s="554">
        <f t="shared" ref="G1812:G1870" si="139">+$I$96*((D1812+F1812)/2)+E1812</f>
        <v>9105770.2862241603</v>
      </c>
      <c r="H1812" s="555">
        <f t="shared" ref="H1812:H1870" si="140">$I$97*((D1812+F1812)/2)+E1812</f>
        <v>9105770.2862241603</v>
      </c>
      <c r="I1812" s="552">
        <f t="shared" ref="I1812:I1870" si="141">+H1812-G1812</f>
        <v>0</v>
      </c>
      <c r="J1812" s="552"/>
      <c r="K1812" s="572">
        <v>7538577</v>
      </c>
      <c r="L1812" s="556"/>
      <c r="M1812" s="572">
        <v>7538577</v>
      </c>
      <c r="N1812" s="556"/>
      <c r="O1812" s="556"/>
    </row>
    <row r="1813" spans="2:15">
      <c r="C1813" s="548">
        <f>IF(D1805="","-",+C1812+1)</f>
        <v>2017</v>
      </c>
      <c r="D1813" s="506">
        <f t="shared" si="137"/>
        <v>49957259.49926471</v>
      </c>
      <c r="E1813" s="549">
        <f t="shared" ref="E1813:E1870" si="142">IF(D1813&gt;$I$1808,$I$1808,D1813)</f>
        <v>1541097.9794117648</v>
      </c>
      <c r="F1813" s="506">
        <f t="shared" si="138"/>
        <v>48416161.519852944</v>
      </c>
      <c r="G1813" s="554">
        <f t="shared" si="139"/>
        <v>8875957.4566501137</v>
      </c>
      <c r="H1813" s="555">
        <f t="shared" si="140"/>
        <v>8875957.4566501137</v>
      </c>
      <c r="I1813" s="552">
        <f t="shared" si="141"/>
        <v>0</v>
      </c>
      <c r="J1813" s="552"/>
      <c r="K1813" s="572">
        <v>9073387</v>
      </c>
      <c r="L1813" s="556"/>
      <c r="M1813" s="572">
        <v>9073387</v>
      </c>
      <c r="N1813" s="556"/>
      <c r="O1813" s="556"/>
    </row>
    <row r="1814" spans="2:15">
      <c r="C1814" s="974">
        <f>IF(D1805="","-",+C1813+1)</f>
        <v>2018</v>
      </c>
      <c r="D1814" s="506">
        <f t="shared" si="137"/>
        <v>48416161.519852944</v>
      </c>
      <c r="E1814" s="549">
        <f t="shared" si="142"/>
        <v>1541097.9794117648</v>
      </c>
      <c r="F1814" s="506">
        <f t="shared" si="138"/>
        <v>46875063.540441178</v>
      </c>
      <c r="G1814" s="554">
        <f t="shared" si="139"/>
        <v>8646144.6270760652</v>
      </c>
      <c r="H1814" s="555">
        <f t="shared" si="140"/>
        <v>8646144.6270760652</v>
      </c>
      <c r="I1814" s="552">
        <f t="shared" si="141"/>
        <v>0</v>
      </c>
      <c r="J1814" s="552"/>
      <c r="K1814" s="572">
        <v>8068347</v>
      </c>
      <c r="L1814" s="556"/>
      <c r="M1814" s="572">
        <v>8068347</v>
      </c>
      <c r="N1814" s="556"/>
      <c r="O1814" s="556"/>
    </row>
    <row r="1815" spans="2:15">
      <c r="C1815" s="974">
        <f>IF(D1805="","-",+C1814+1)</f>
        <v>2019</v>
      </c>
      <c r="D1815" s="506">
        <f t="shared" si="137"/>
        <v>46875063.540441178</v>
      </c>
      <c r="E1815" s="549">
        <f t="shared" si="142"/>
        <v>1541097.9794117648</v>
      </c>
      <c r="F1815" s="506">
        <f t="shared" si="138"/>
        <v>45333965.561029412</v>
      </c>
      <c r="G1815" s="554">
        <f t="shared" si="139"/>
        <v>8416331.7975020185</v>
      </c>
      <c r="H1815" s="555">
        <f t="shared" si="140"/>
        <v>8416331.7975020185</v>
      </c>
      <c r="I1815" s="552">
        <f t="shared" si="141"/>
        <v>0</v>
      </c>
      <c r="J1815" s="552"/>
      <c r="K1815" s="572">
        <v>8277756.5823353138</v>
      </c>
      <c r="L1815" s="556"/>
      <c r="M1815" s="572">
        <v>8277756.5823353138</v>
      </c>
      <c r="N1815" s="556"/>
      <c r="O1815" s="556"/>
    </row>
    <row r="1816" spans="2:15">
      <c r="C1816" s="974">
        <f>IF(D1805="","-",+C1815+1)</f>
        <v>2020</v>
      </c>
      <c r="D1816" s="506">
        <f t="shared" si="137"/>
        <v>45333965.561029412</v>
      </c>
      <c r="E1816" s="549">
        <f t="shared" si="142"/>
        <v>1541097.9794117648</v>
      </c>
      <c r="F1816" s="506">
        <f t="shared" si="138"/>
        <v>43792867.581617646</v>
      </c>
      <c r="G1816" s="554">
        <f t="shared" si="139"/>
        <v>8186518.9679279709</v>
      </c>
      <c r="H1816" s="555">
        <f t="shared" si="140"/>
        <v>8186518.9679279709</v>
      </c>
      <c r="I1816" s="552">
        <f t="shared" si="141"/>
        <v>0</v>
      </c>
      <c r="J1816" s="552"/>
      <c r="K1816" s="572">
        <v>8678859.6640126929</v>
      </c>
      <c r="L1816" s="556"/>
      <c r="M1816" s="572">
        <v>8678859.6640126929</v>
      </c>
      <c r="N1816" s="556"/>
      <c r="O1816" s="556"/>
    </row>
    <row r="1817" spans="2:15">
      <c r="C1817" s="974">
        <f>IF(D1805="","-",+C1816+1)</f>
        <v>2021</v>
      </c>
      <c r="D1817" s="506">
        <f t="shared" si="137"/>
        <v>43792867.581617646</v>
      </c>
      <c r="E1817" s="549">
        <f t="shared" si="142"/>
        <v>1541097.9794117648</v>
      </c>
      <c r="F1817" s="506">
        <f t="shared" si="138"/>
        <v>42251769.60220588</v>
      </c>
      <c r="G1817" s="554">
        <f t="shared" si="139"/>
        <v>7956706.1383539233</v>
      </c>
      <c r="H1817" s="555">
        <f t="shared" si="140"/>
        <v>7956706.1383539233</v>
      </c>
      <c r="I1817" s="552">
        <f t="shared" si="141"/>
        <v>0</v>
      </c>
      <c r="J1817" s="552"/>
      <c r="K1817" s="572">
        <v>7846692.6081248224</v>
      </c>
      <c r="L1817" s="556"/>
      <c r="M1817" s="572">
        <v>7846692.6081248224</v>
      </c>
      <c r="N1817" s="556"/>
      <c r="O1817" s="556"/>
    </row>
    <row r="1818" spans="2:15">
      <c r="C1818" s="974">
        <f>IF(D1805="","-",+C1817+1)</f>
        <v>2022</v>
      </c>
      <c r="D1818" s="506">
        <f t="shared" si="137"/>
        <v>42251769.60220588</v>
      </c>
      <c r="E1818" s="549">
        <f t="shared" si="142"/>
        <v>1541097.9794117648</v>
      </c>
      <c r="F1818" s="506">
        <f t="shared" si="138"/>
        <v>40710671.622794114</v>
      </c>
      <c r="G1818" s="554">
        <f t="shared" si="139"/>
        <v>7726893.3087798757</v>
      </c>
      <c r="H1818" s="555">
        <f t="shared" si="140"/>
        <v>7726893.3087798757</v>
      </c>
      <c r="I1818" s="552">
        <f t="shared" si="141"/>
        <v>0</v>
      </c>
      <c r="J1818" s="552"/>
      <c r="K1818" s="572">
        <v>7839684.445363245</v>
      </c>
      <c r="L1818" s="556"/>
      <c r="M1818" s="572">
        <v>7839684.445363245</v>
      </c>
      <c r="N1818" s="556"/>
      <c r="O1818" s="556"/>
    </row>
    <row r="1819" spans="2:15">
      <c r="C1819" s="974">
        <f>IF(D1805="","-",+C1818+1)</f>
        <v>2023</v>
      </c>
      <c r="D1819" s="506">
        <f t="shared" si="137"/>
        <v>40710671.622794114</v>
      </c>
      <c r="E1819" s="549">
        <f t="shared" si="142"/>
        <v>1541097.9794117648</v>
      </c>
      <c r="F1819" s="506">
        <f t="shared" si="138"/>
        <v>39169573.643382348</v>
      </c>
      <c r="G1819" s="554">
        <f t="shared" si="139"/>
        <v>7497080.4792058282</v>
      </c>
      <c r="H1819" s="555">
        <f t="shared" si="140"/>
        <v>7497080.4792058282</v>
      </c>
      <c r="I1819" s="552">
        <f t="shared" si="141"/>
        <v>0</v>
      </c>
      <c r="J1819" s="552"/>
      <c r="K1819" s="572">
        <v>7645106.1795429559</v>
      </c>
      <c r="L1819" s="556"/>
      <c r="M1819" s="572">
        <v>7645106.1795429559</v>
      </c>
      <c r="N1819" s="556"/>
      <c r="O1819" s="556"/>
    </row>
    <row r="1820" spans="2:15">
      <c r="C1820" s="548">
        <f>IF(D1805="","-",+C1819+1)</f>
        <v>2024</v>
      </c>
      <c r="D1820" s="506">
        <f t="shared" si="137"/>
        <v>39169573.643382348</v>
      </c>
      <c r="E1820" s="549">
        <f t="shared" si="142"/>
        <v>1541097.9794117648</v>
      </c>
      <c r="F1820" s="506">
        <f t="shared" si="138"/>
        <v>37628475.663970582</v>
      </c>
      <c r="G1820" s="554">
        <f t="shared" si="139"/>
        <v>7267267.6496317806</v>
      </c>
      <c r="H1820" s="555">
        <f t="shared" si="140"/>
        <v>7267267.6496317806</v>
      </c>
      <c r="I1820" s="552">
        <f t="shared" si="141"/>
        <v>0</v>
      </c>
      <c r="J1820" s="552"/>
      <c r="K1820" s="572">
        <v>7303466.0167628583</v>
      </c>
      <c r="L1820" s="556"/>
      <c r="M1820" s="572">
        <v>7303466.0167628583</v>
      </c>
      <c r="N1820" s="556"/>
      <c r="O1820" s="556"/>
    </row>
    <row r="1821" spans="2:15">
      <c r="C1821" s="548">
        <f>IF(D1805="","-",+C1820+1)</f>
        <v>2025</v>
      </c>
      <c r="D1821" s="506">
        <f t="shared" si="137"/>
        <v>37628475.663970582</v>
      </c>
      <c r="E1821" s="549">
        <f t="shared" si="142"/>
        <v>1541097.9794117648</v>
      </c>
      <c r="F1821" s="506">
        <f t="shared" si="138"/>
        <v>36087377.684558816</v>
      </c>
      <c r="G1821" s="554">
        <f t="shared" si="139"/>
        <v>7037454.820057733</v>
      </c>
      <c r="H1821" s="555">
        <f t="shared" si="140"/>
        <v>7037454.820057733</v>
      </c>
      <c r="I1821" s="552">
        <f t="shared" si="141"/>
        <v>0</v>
      </c>
      <c r="J1821" s="552"/>
      <c r="K1821" s="572">
        <v>7058355.6747593135</v>
      </c>
      <c r="L1821" s="556"/>
      <c r="M1821" s="572">
        <v>7058355.6747593135</v>
      </c>
      <c r="N1821" s="556"/>
      <c r="O1821" s="556"/>
    </row>
    <row r="1822" spans="2:15">
      <c r="C1822" s="955">
        <f>IF(D1805="","-",+C1821+1)</f>
        <v>2026</v>
      </c>
      <c r="D1822" s="506">
        <f t="shared" si="137"/>
        <v>36087377.684558816</v>
      </c>
      <c r="E1822" s="549">
        <f t="shared" si="142"/>
        <v>1541097.9794117648</v>
      </c>
      <c r="F1822" s="506">
        <f t="shared" si="138"/>
        <v>34546279.70514705</v>
      </c>
      <c r="G1822" s="554">
        <f t="shared" si="139"/>
        <v>6807641.9904836845</v>
      </c>
      <c r="H1822" s="555">
        <f t="shared" si="140"/>
        <v>6807641.9904836845</v>
      </c>
      <c r="I1822" s="552">
        <f t="shared" si="141"/>
        <v>0</v>
      </c>
      <c r="J1822" s="552"/>
      <c r="K1822" s="572"/>
      <c r="L1822" s="556"/>
      <c r="M1822" s="572"/>
      <c r="N1822" s="556"/>
      <c r="O1822" s="556"/>
    </row>
    <row r="1823" spans="2:15">
      <c r="C1823" s="548">
        <f>IF(D1805="","-",+C1822+1)</f>
        <v>2027</v>
      </c>
      <c r="D1823" s="506">
        <f t="shared" si="137"/>
        <v>34546279.70514705</v>
      </c>
      <c r="E1823" s="549">
        <f t="shared" si="142"/>
        <v>1541097.9794117648</v>
      </c>
      <c r="F1823" s="506">
        <f t="shared" si="138"/>
        <v>33005181.725735284</v>
      </c>
      <c r="G1823" s="554">
        <f t="shared" si="139"/>
        <v>6577829.1609096369</v>
      </c>
      <c r="H1823" s="555">
        <f t="shared" si="140"/>
        <v>6577829.1609096369</v>
      </c>
      <c r="I1823" s="552">
        <f t="shared" si="141"/>
        <v>0</v>
      </c>
      <c r="J1823" s="552"/>
      <c r="K1823" s="572"/>
      <c r="L1823" s="556"/>
      <c r="M1823" s="572"/>
      <c r="N1823" s="557"/>
      <c r="O1823" s="556"/>
    </row>
    <row r="1824" spans="2:15">
      <c r="C1824" s="548">
        <f>IF(D1805="","-",+C1823+1)</f>
        <v>2028</v>
      </c>
      <c r="D1824" s="506">
        <f t="shared" si="137"/>
        <v>33005181.725735284</v>
      </c>
      <c r="E1824" s="549">
        <f t="shared" si="142"/>
        <v>1541097.9794117648</v>
      </c>
      <c r="F1824" s="506">
        <f t="shared" si="138"/>
        <v>31464083.746323518</v>
      </c>
      <c r="G1824" s="554">
        <f t="shared" si="139"/>
        <v>6348016.3313355893</v>
      </c>
      <c r="H1824" s="555">
        <f t="shared" si="140"/>
        <v>6348016.3313355893</v>
      </c>
      <c r="I1824" s="552">
        <f t="shared" si="141"/>
        <v>0</v>
      </c>
      <c r="J1824" s="552"/>
      <c r="K1824" s="572"/>
      <c r="L1824" s="556"/>
      <c r="M1824" s="572"/>
      <c r="N1824" s="556"/>
      <c r="O1824" s="556"/>
    </row>
    <row r="1825" spans="3:15">
      <c r="C1825" s="548">
        <f>IF(D1805="","-",+C1824+1)</f>
        <v>2029</v>
      </c>
      <c r="D1825" s="506">
        <f t="shared" si="137"/>
        <v>31464083.746323518</v>
      </c>
      <c r="E1825" s="549">
        <f t="shared" si="142"/>
        <v>1541097.9794117648</v>
      </c>
      <c r="F1825" s="506">
        <f t="shared" si="138"/>
        <v>29922985.766911753</v>
      </c>
      <c r="G1825" s="554">
        <f t="shared" si="139"/>
        <v>6118203.5017615417</v>
      </c>
      <c r="H1825" s="555">
        <f t="shared" si="140"/>
        <v>6118203.5017615417</v>
      </c>
      <c r="I1825" s="552">
        <f t="shared" si="141"/>
        <v>0</v>
      </c>
      <c r="J1825" s="552"/>
      <c r="K1825" s="572"/>
      <c r="L1825" s="556"/>
      <c r="M1825" s="572"/>
      <c r="N1825" s="556"/>
      <c r="O1825" s="556"/>
    </row>
    <row r="1826" spans="3:15">
      <c r="C1826" s="548">
        <f>IF(D1805="","-",+C1825+1)</f>
        <v>2030</v>
      </c>
      <c r="D1826" s="506">
        <f t="shared" si="137"/>
        <v>29922985.766911753</v>
      </c>
      <c r="E1826" s="549">
        <f t="shared" si="142"/>
        <v>1541097.9794117648</v>
      </c>
      <c r="F1826" s="506">
        <f t="shared" si="138"/>
        <v>28381887.787499987</v>
      </c>
      <c r="G1826" s="554">
        <f t="shared" si="139"/>
        <v>5888390.6721874941</v>
      </c>
      <c r="H1826" s="555">
        <f t="shared" si="140"/>
        <v>5888390.6721874941</v>
      </c>
      <c r="I1826" s="552">
        <f t="shared" si="141"/>
        <v>0</v>
      </c>
      <c r="J1826" s="552"/>
      <c r="K1826" s="572"/>
      <c r="L1826" s="556"/>
      <c r="M1826" s="572"/>
      <c r="N1826" s="556"/>
      <c r="O1826" s="556"/>
    </row>
    <row r="1827" spans="3:15">
      <c r="C1827" s="548">
        <f>IF(D1805="","-",+C1826+1)</f>
        <v>2031</v>
      </c>
      <c r="D1827" s="506">
        <f t="shared" si="137"/>
        <v>28381887.787499987</v>
      </c>
      <c r="E1827" s="549">
        <f t="shared" si="142"/>
        <v>1541097.9794117648</v>
      </c>
      <c r="F1827" s="506">
        <f t="shared" si="138"/>
        <v>26840789.808088221</v>
      </c>
      <c r="G1827" s="554">
        <f t="shared" si="139"/>
        <v>5658577.8426134465</v>
      </c>
      <c r="H1827" s="555">
        <f t="shared" si="140"/>
        <v>5658577.8426134465</v>
      </c>
      <c r="I1827" s="552">
        <f t="shared" si="141"/>
        <v>0</v>
      </c>
      <c r="J1827" s="552"/>
      <c r="K1827" s="572"/>
      <c r="L1827" s="556"/>
      <c r="M1827" s="572"/>
      <c r="N1827" s="556"/>
      <c r="O1827" s="556"/>
    </row>
    <row r="1828" spans="3:15">
      <c r="C1828" s="548">
        <f>IF(D1805="","-",+C1827+1)</f>
        <v>2032</v>
      </c>
      <c r="D1828" s="506">
        <f t="shared" si="137"/>
        <v>26840789.808088221</v>
      </c>
      <c r="E1828" s="549">
        <f t="shared" si="142"/>
        <v>1541097.9794117648</v>
      </c>
      <c r="F1828" s="506">
        <f t="shared" si="138"/>
        <v>25299691.828676455</v>
      </c>
      <c r="G1828" s="554">
        <f t="shared" si="139"/>
        <v>5428765.0130393989</v>
      </c>
      <c r="H1828" s="555">
        <f t="shared" si="140"/>
        <v>5428765.0130393989</v>
      </c>
      <c r="I1828" s="552">
        <f t="shared" si="141"/>
        <v>0</v>
      </c>
      <c r="J1828" s="552"/>
      <c r="K1828" s="572"/>
      <c r="L1828" s="556"/>
      <c r="M1828" s="572"/>
      <c r="N1828" s="556"/>
      <c r="O1828" s="556"/>
    </row>
    <row r="1829" spans="3:15">
      <c r="C1829" s="548">
        <f>IF(D1805="","-",+C1828+1)</f>
        <v>2033</v>
      </c>
      <c r="D1829" s="506">
        <f t="shared" si="137"/>
        <v>25299691.828676455</v>
      </c>
      <c r="E1829" s="549">
        <f t="shared" si="142"/>
        <v>1541097.9794117648</v>
      </c>
      <c r="F1829" s="506">
        <f t="shared" si="138"/>
        <v>23758593.849264689</v>
      </c>
      <c r="G1829" s="554">
        <f t="shared" si="139"/>
        <v>5198952.1834653514</v>
      </c>
      <c r="H1829" s="555">
        <f t="shared" si="140"/>
        <v>5198952.1834653514</v>
      </c>
      <c r="I1829" s="552">
        <f t="shared" si="141"/>
        <v>0</v>
      </c>
      <c r="J1829" s="552"/>
      <c r="K1829" s="572"/>
      <c r="L1829" s="556"/>
      <c r="M1829" s="572"/>
      <c r="N1829" s="556"/>
      <c r="O1829" s="556"/>
    </row>
    <row r="1830" spans="3:15">
      <c r="C1830" s="548">
        <f>IF(D1805="","-",+C1829+1)</f>
        <v>2034</v>
      </c>
      <c r="D1830" s="506">
        <f t="shared" si="137"/>
        <v>23758593.849264689</v>
      </c>
      <c r="E1830" s="549">
        <f t="shared" si="142"/>
        <v>1541097.9794117648</v>
      </c>
      <c r="F1830" s="506">
        <f t="shared" si="138"/>
        <v>22217495.869852923</v>
      </c>
      <c r="G1830" s="554">
        <f t="shared" si="139"/>
        <v>4969139.3538913038</v>
      </c>
      <c r="H1830" s="555">
        <f t="shared" si="140"/>
        <v>4969139.3538913038</v>
      </c>
      <c r="I1830" s="552">
        <f t="shared" si="141"/>
        <v>0</v>
      </c>
      <c r="J1830" s="552"/>
      <c r="K1830" s="572"/>
      <c r="L1830" s="556"/>
      <c r="M1830" s="572"/>
      <c r="N1830" s="556"/>
      <c r="O1830" s="556"/>
    </row>
    <row r="1831" spans="3:15">
      <c r="C1831" s="548">
        <f>IF(D1805="","-",+C1830+1)</f>
        <v>2035</v>
      </c>
      <c r="D1831" s="506">
        <f t="shared" si="137"/>
        <v>22217495.869852923</v>
      </c>
      <c r="E1831" s="549">
        <f t="shared" si="142"/>
        <v>1541097.9794117648</v>
      </c>
      <c r="F1831" s="506">
        <f t="shared" si="138"/>
        <v>20676397.890441157</v>
      </c>
      <c r="G1831" s="554">
        <f t="shared" si="139"/>
        <v>4739326.5243172562</v>
      </c>
      <c r="H1831" s="555">
        <f t="shared" si="140"/>
        <v>4739326.5243172562</v>
      </c>
      <c r="I1831" s="552">
        <f t="shared" si="141"/>
        <v>0</v>
      </c>
      <c r="J1831" s="552"/>
      <c r="K1831" s="572"/>
      <c r="L1831" s="556"/>
      <c r="M1831" s="572"/>
      <c r="N1831" s="556"/>
      <c r="O1831" s="556"/>
    </row>
    <row r="1832" spans="3:15">
      <c r="C1832" s="548">
        <f>IF(D1805="","-",+C1831+1)</f>
        <v>2036</v>
      </c>
      <c r="D1832" s="506">
        <f t="shared" si="137"/>
        <v>20676397.890441157</v>
      </c>
      <c r="E1832" s="549">
        <f t="shared" si="142"/>
        <v>1541097.9794117648</v>
      </c>
      <c r="F1832" s="506">
        <f t="shared" si="138"/>
        <v>19135299.911029391</v>
      </c>
      <c r="G1832" s="554">
        <f t="shared" si="139"/>
        <v>4509513.6947432086</v>
      </c>
      <c r="H1832" s="555">
        <f t="shared" si="140"/>
        <v>4509513.6947432086</v>
      </c>
      <c r="I1832" s="552">
        <f t="shared" si="141"/>
        <v>0</v>
      </c>
      <c r="J1832" s="552"/>
      <c r="K1832" s="572"/>
      <c r="L1832" s="556"/>
      <c r="M1832" s="572"/>
      <c r="N1832" s="556"/>
      <c r="O1832" s="556"/>
    </row>
    <row r="1833" spans="3:15">
      <c r="C1833" s="548">
        <f>IF(D1805="","-",+C1832+1)</f>
        <v>2037</v>
      </c>
      <c r="D1833" s="506">
        <f t="shared" si="137"/>
        <v>19135299.911029391</v>
      </c>
      <c r="E1833" s="549">
        <f t="shared" si="142"/>
        <v>1541097.9794117648</v>
      </c>
      <c r="F1833" s="506">
        <f t="shared" si="138"/>
        <v>17594201.931617625</v>
      </c>
      <c r="G1833" s="554">
        <f t="shared" si="139"/>
        <v>4279700.8651691601</v>
      </c>
      <c r="H1833" s="555">
        <f t="shared" si="140"/>
        <v>4279700.8651691601</v>
      </c>
      <c r="I1833" s="552">
        <f t="shared" si="141"/>
        <v>0</v>
      </c>
      <c r="J1833" s="552"/>
      <c r="K1833" s="572"/>
      <c r="L1833" s="556"/>
      <c r="M1833" s="572"/>
      <c r="N1833" s="556"/>
      <c r="O1833" s="556"/>
    </row>
    <row r="1834" spans="3:15">
      <c r="C1834" s="548">
        <f>IF(D1805="","-",+C1833+1)</f>
        <v>2038</v>
      </c>
      <c r="D1834" s="506">
        <f t="shared" si="137"/>
        <v>17594201.931617625</v>
      </c>
      <c r="E1834" s="549">
        <f t="shared" si="142"/>
        <v>1541097.9794117648</v>
      </c>
      <c r="F1834" s="506">
        <f t="shared" si="138"/>
        <v>16053103.952205861</v>
      </c>
      <c r="G1834" s="554">
        <f t="shared" si="139"/>
        <v>4049888.0355951125</v>
      </c>
      <c r="H1834" s="555">
        <f t="shared" si="140"/>
        <v>4049888.0355951125</v>
      </c>
      <c r="I1834" s="552">
        <f t="shared" si="141"/>
        <v>0</v>
      </c>
      <c r="J1834" s="552"/>
      <c r="K1834" s="572"/>
      <c r="L1834" s="556"/>
      <c r="M1834" s="572"/>
      <c r="N1834" s="556"/>
      <c r="O1834" s="556"/>
    </row>
    <row r="1835" spans="3:15">
      <c r="C1835" s="548">
        <f>IF(D1805="","-",+C1834+1)</f>
        <v>2039</v>
      </c>
      <c r="D1835" s="506">
        <f t="shared" si="137"/>
        <v>16053103.952205861</v>
      </c>
      <c r="E1835" s="549">
        <f t="shared" si="142"/>
        <v>1541097.9794117648</v>
      </c>
      <c r="F1835" s="506">
        <f t="shared" si="138"/>
        <v>14512005.972794097</v>
      </c>
      <c r="G1835" s="554">
        <f t="shared" si="139"/>
        <v>3820075.2060210658</v>
      </c>
      <c r="H1835" s="555">
        <f t="shared" si="140"/>
        <v>3820075.2060210658</v>
      </c>
      <c r="I1835" s="552">
        <f t="shared" si="141"/>
        <v>0</v>
      </c>
      <c r="J1835" s="552"/>
      <c r="K1835" s="572"/>
      <c r="L1835" s="556"/>
      <c r="M1835" s="572"/>
      <c r="N1835" s="556"/>
      <c r="O1835" s="556"/>
    </row>
    <row r="1836" spans="3:15">
      <c r="C1836" s="548">
        <f>IF(D1805="","-",+C1835+1)</f>
        <v>2040</v>
      </c>
      <c r="D1836" s="506">
        <f t="shared" si="137"/>
        <v>14512005.972794097</v>
      </c>
      <c r="E1836" s="549">
        <f t="shared" si="142"/>
        <v>1541097.9794117648</v>
      </c>
      <c r="F1836" s="506">
        <f t="shared" si="138"/>
        <v>12970907.993382333</v>
      </c>
      <c r="G1836" s="554">
        <f t="shared" si="139"/>
        <v>3590262.3764470182</v>
      </c>
      <c r="H1836" s="555">
        <f t="shared" si="140"/>
        <v>3590262.3764470182</v>
      </c>
      <c r="I1836" s="552">
        <f t="shared" si="141"/>
        <v>0</v>
      </c>
      <c r="J1836" s="552"/>
      <c r="K1836" s="572"/>
      <c r="L1836" s="556"/>
      <c r="M1836" s="572"/>
      <c r="N1836" s="556"/>
      <c r="O1836" s="556"/>
    </row>
    <row r="1837" spans="3:15">
      <c r="C1837" s="548">
        <f>IF(D1805="","-",+C1836+1)</f>
        <v>2041</v>
      </c>
      <c r="D1837" s="506">
        <f t="shared" si="137"/>
        <v>12970907.993382333</v>
      </c>
      <c r="E1837" s="549">
        <f t="shared" si="142"/>
        <v>1541097.9794117648</v>
      </c>
      <c r="F1837" s="506">
        <f t="shared" si="138"/>
        <v>11429810.013970569</v>
      </c>
      <c r="G1837" s="554">
        <f t="shared" si="139"/>
        <v>3360449.5468729711</v>
      </c>
      <c r="H1837" s="555">
        <f t="shared" si="140"/>
        <v>3360449.5468729711</v>
      </c>
      <c r="I1837" s="552">
        <f t="shared" si="141"/>
        <v>0</v>
      </c>
      <c r="J1837" s="552"/>
      <c r="K1837" s="572"/>
      <c r="L1837" s="556"/>
      <c r="M1837" s="572"/>
      <c r="N1837" s="556"/>
      <c r="O1837" s="556"/>
    </row>
    <row r="1838" spans="3:15">
      <c r="C1838" s="548">
        <f>IF(D1805="","-",+C1837+1)</f>
        <v>2042</v>
      </c>
      <c r="D1838" s="506">
        <f t="shared" si="137"/>
        <v>11429810.013970569</v>
      </c>
      <c r="E1838" s="549">
        <f t="shared" si="142"/>
        <v>1541097.9794117648</v>
      </c>
      <c r="F1838" s="506">
        <f t="shared" si="138"/>
        <v>9888712.0345588047</v>
      </c>
      <c r="G1838" s="554">
        <f t="shared" si="139"/>
        <v>3130636.7172989231</v>
      </c>
      <c r="H1838" s="555">
        <f t="shared" si="140"/>
        <v>3130636.7172989231</v>
      </c>
      <c r="I1838" s="552">
        <f t="shared" si="141"/>
        <v>0</v>
      </c>
      <c r="J1838" s="552"/>
      <c r="K1838" s="572"/>
      <c r="L1838" s="556"/>
      <c r="M1838" s="572"/>
      <c r="N1838" s="556"/>
      <c r="O1838" s="556"/>
    </row>
    <row r="1839" spans="3:15">
      <c r="C1839" s="548">
        <f>IF(D1805="","-",+C1838+1)</f>
        <v>2043</v>
      </c>
      <c r="D1839" s="506">
        <f t="shared" si="137"/>
        <v>9888712.0345588047</v>
      </c>
      <c r="E1839" s="549">
        <f t="shared" si="142"/>
        <v>1541097.9794117648</v>
      </c>
      <c r="F1839" s="506">
        <f t="shared" si="138"/>
        <v>8347614.0551470397</v>
      </c>
      <c r="G1839" s="550">
        <f t="shared" si="139"/>
        <v>2900823.8877248759</v>
      </c>
      <c r="H1839" s="555">
        <f t="shared" si="140"/>
        <v>2900823.8877248759</v>
      </c>
      <c r="I1839" s="552">
        <f t="shared" si="141"/>
        <v>0</v>
      </c>
      <c r="J1839" s="552"/>
      <c r="K1839" s="572"/>
      <c r="L1839" s="556"/>
      <c r="M1839" s="572"/>
      <c r="N1839" s="556"/>
      <c r="O1839" s="556"/>
    </row>
    <row r="1840" spans="3:15">
      <c r="C1840" s="548">
        <f>IF(D1805="","-",+C1839+1)</f>
        <v>2044</v>
      </c>
      <c r="D1840" s="506">
        <f t="shared" si="137"/>
        <v>8347614.0551470397</v>
      </c>
      <c r="E1840" s="549">
        <f t="shared" si="142"/>
        <v>1541097.9794117648</v>
      </c>
      <c r="F1840" s="506">
        <f t="shared" si="138"/>
        <v>6806516.0757352747</v>
      </c>
      <c r="G1840" s="554">
        <f t="shared" si="139"/>
        <v>2671011.0581508288</v>
      </c>
      <c r="H1840" s="555">
        <f t="shared" si="140"/>
        <v>2671011.0581508288</v>
      </c>
      <c r="I1840" s="552">
        <f t="shared" si="141"/>
        <v>0</v>
      </c>
      <c r="J1840" s="552"/>
      <c r="K1840" s="572"/>
      <c r="L1840" s="556"/>
      <c r="M1840" s="572"/>
      <c r="N1840" s="556"/>
      <c r="O1840" s="556"/>
    </row>
    <row r="1841" spans="3:15">
      <c r="C1841" s="548">
        <f>IF(D1805="","-",+C1840+1)</f>
        <v>2045</v>
      </c>
      <c r="D1841" s="506">
        <f t="shared" si="137"/>
        <v>6806516.0757352747</v>
      </c>
      <c r="E1841" s="549">
        <f t="shared" si="142"/>
        <v>1541097.9794117648</v>
      </c>
      <c r="F1841" s="506">
        <f t="shared" si="138"/>
        <v>5265418.0963235097</v>
      </c>
      <c r="G1841" s="554">
        <f t="shared" si="139"/>
        <v>2441198.2285767812</v>
      </c>
      <c r="H1841" s="555">
        <f t="shared" si="140"/>
        <v>2441198.2285767812</v>
      </c>
      <c r="I1841" s="552">
        <f t="shared" si="141"/>
        <v>0</v>
      </c>
      <c r="J1841" s="552"/>
      <c r="K1841" s="572"/>
      <c r="L1841" s="556"/>
      <c r="M1841" s="572"/>
      <c r="N1841" s="556"/>
      <c r="O1841" s="556"/>
    </row>
    <row r="1842" spans="3:15">
      <c r="C1842" s="548">
        <f>IF(D1805="","-",+C1841+1)</f>
        <v>2046</v>
      </c>
      <c r="D1842" s="506">
        <f t="shared" si="137"/>
        <v>5265418.0963235097</v>
      </c>
      <c r="E1842" s="549">
        <f t="shared" si="142"/>
        <v>1541097.9794117648</v>
      </c>
      <c r="F1842" s="506">
        <f t="shared" si="138"/>
        <v>3724320.1169117447</v>
      </c>
      <c r="G1842" s="554">
        <f t="shared" si="139"/>
        <v>2211385.3990027336</v>
      </c>
      <c r="H1842" s="555">
        <f t="shared" si="140"/>
        <v>2211385.3990027336</v>
      </c>
      <c r="I1842" s="552">
        <f t="shared" si="141"/>
        <v>0</v>
      </c>
      <c r="J1842" s="552"/>
      <c r="K1842" s="572"/>
      <c r="L1842" s="556"/>
      <c r="M1842" s="572"/>
      <c r="N1842" s="556"/>
      <c r="O1842" s="556"/>
    </row>
    <row r="1843" spans="3:15">
      <c r="C1843" s="548">
        <f>IF(D1805="","-",+C1842+1)</f>
        <v>2047</v>
      </c>
      <c r="D1843" s="506">
        <f t="shared" si="137"/>
        <v>3724320.1169117447</v>
      </c>
      <c r="E1843" s="549">
        <f t="shared" si="142"/>
        <v>1541097.9794117648</v>
      </c>
      <c r="F1843" s="506">
        <f t="shared" si="138"/>
        <v>2183222.1374999797</v>
      </c>
      <c r="G1843" s="554">
        <f t="shared" si="139"/>
        <v>1981572.5694286861</v>
      </c>
      <c r="H1843" s="555">
        <f t="shared" si="140"/>
        <v>1981572.5694286861</v>
      </c>
      <c r="I1843" s="552">
        <f t="shared" si="141"/>
        <v>0</v>
      </c>
      <c r="J1843" s="552"/>
      <c r="K1843" s="572"/>
      <c r="L1843" s="556"/>
      <c r="M1843" s="572"/>
      <c r="N1843" s="556"/>
      <c r="O1843" s="556"/>
    </row>
    <row r="1844" spans="3:15">
      <c r="C1844" s="548">
        <f>IF(D1805="","-",+C1843+1)</f>
        <v>2048</v>
      </c>
      <c r="D1844" s="506">
        <f t="shared" si="137"/>
        <v>2183222.1374999797</v>
      </c>
      <c r="E1844" s="549">
        <f t="shared" si="142"/>
        <v>1541097.9794117648</v>
      </c>
      <c r="F1844" s="506">
        <f t="shared" si="138"/>
        <v>642124.15808821493</v>
      </c>
      <c r="G1844" s="554">
        <f t="shared" si="139"/>
        <v>1751759.7398546385</v>
      </c>
      <c r="H1844" s="555">
        <f t="shared" si="140"/>
        <v>1751759.7398546385</v>
      </c>
      <c r="I1844" s="552">
        <f t="shared" si="141"/>
        <v>0</v>
      </c>
      <c r="J1844" s="552"/>
      <c r="K1844" s="572"/>
      <c r="L1844" s="556"/>
      <c r="M1844" s="572"/>
      <c r="N1844" s="556"/>
      <c r="O1844" s="556"/>
    </row>
    <row r="1845" spans="3:15">
      <c r="C1845" s="548">
        <f>IF(D1805="","-",+C1844+1)</f>
        <v>2049</v>
      </c>
      <c r="D1845" s="506">
        <f t="shared" si="137"/>
        <v>642124.15808821493</v>
      </c>
      <c r="E1845" s="549">
        <f t="shared" si="142"/>
        <v>642124.15808821493</v>
      </c>
      <c r="F1845" s="506">
        <f t="shared" si="138"/>
        <v>0</v>
      </c>
      <c r="G1845" s="554">
        <f t="shared" si="139"/>
        <v>690001.83091614</v>
      </c>
      <c r="H1845" s="555">
        <f t="shared" si="140"/>
        <v>690001.83091614</v>
      </c>
      <c r="I1845" s="552">
        <f t="shared" si="141"/>
        <v>0</v>
      </c>
      <c r="J1845" s="552"/>
      <c r="K1845" s="572"/>
      <c r="L1845" s="556"/>
      <c r="M1845" s="572"/>
      <c r="N1845" s="556"/>
      <c r="O1845" s="556"/>
    </row>
    <row r="1846" spans="3:15">
      <c r="C1846" s="548">
        <f>IF(D1805="","-",+C1845+1)</f>
        <v>2050</v>
      </c>
      <c r="D1846" s="506">
        <f t="shared" si="137"/>
        <v>0</v>
      </c>
      <c r="E1846" s="549">
        <f t="shared" si="142"/>
        <v>0</v>
      </c>
      <c r="F1846" s="506">
        <f t="shared" si="138"/>
        <v>0</v>
      </c>
      <c r="G1846" s="554">
        <f t="shared" si="139"/>
        <v>0</v>
      </c>
      <c r="H1846" s="555">
        <f t="shared" si="140"/>
        <v>0</v>
      </c>
      <c r="I1846" s="552">
        <f t="shared" si="141"/>
        <v>0</v>
      </c>
      <c r="J1846" s="552"/>
      <c r="K1846" s="572"/>
      <c r="L1846" s="556"/>
      <c r="M1846" s="572"/>
      <c r="N1846" s="556"/>
      <c r="O1846" s="556"/>
    </row>
    <row r="1847" spans="3:15">
      <c r="C1847" s="548">
        <f>IF(D1805="","-",+C1846+1)</f>
        <v>2051</v>
      </c>
      <c r="D1847" s="506">
        <f t="shared" si="137"/>
        <v>0</v>
      </c>
      <c r="E1847" s="549">
        <f t="shared" si="142"/>
        <v>0</v>
      </c>
      <c r="F1847" s="506">
        <f t="shared" si="138"/>
        <v>0</v>
      </c>
      <c r="G1847" s="554">
        <f t="shared" si="139"/>
        <v>0</v>
      </c>
      <c r="H1847" s="555">
        <f t="shared" si="140"/>
        <v>0</v>
      </c>
      <c r="I1847" s="552">
        <f t="shared" si="141"/>
        <v>0</v>
      </c>
      <c r="J1847" s="552"/>
      <c r="K1847" s="572"/>
      <c r="L1847" s="556"/>
      <c r="M1847" s="572"/>
      <c r="N1847" s="556"/>
      <c r="O1847" s="556"/>
    </row>
    <row r="1848" spans="3:15">
      <c r="C1848" s="548">
        <f>IF(D1805="","-",+C1847+1)</f>
        <v>2052</v>
      </c>
      <c r="D1848" s="506">
        <f t="shared" si="137"/>
        <v>0</v>
      </c>
      <c r="E1848" s="549">
        <f t="shared" si="142"/>
        <v>0</v>
      </c>
      <c r="F1848" s="506">
        <f t="shared" si="138"/>
        <v>0</v>
      </c>
      <c r="G1848" s="554">
        <f t="shared" si="139"/>
        <v>0</v>
      </c>
      <c r="H1848" s="555">
        <f t="shared" si="140"/>
        <v>0</v>
      </c>
      <c r="I1848" s="552">
        <f t="shared" si="141"/>
        <v>0</v>
      </c>
      <c r="J1848" s="552"/>
      <c r="K1848" s="572"/>
      <c r="L1848" s="556"/>
      <c r="M1848" s="572"/>
      <c r="N1848" s="556"/>
      <c r="O1848" s="556"/>
    </row>
    <row r="1849" spans="3:15">
      <c r="C1849" s="548">
        <f>IF(D1805="","-",+C1848+1)</f>
        <v>2053</v>
      </c>
      <c r="D1849" s="506">
        <f t="shared" si="137"/>
        <v>0</v>
      </c>
      <c r="E1849" s="549">
        <f t="shared" si="142"/>
        <v>0</v>
      </c>
      <c r="F1849" s="506">
        <f t="shared" si="138"/>
        <v>0</v>
      </c>
      <c r="G1849" s="554">
        <f t="shared" si="139"/>
        <v>0</v>
      </c>
      <c r="H1849" s="555">
        <f t="shared" si="140"/>
        <v>0</v>
      </c>
      <c r="I1849" s="552">
        <f t="shared" si="141"/>
        <v>0</v>
      </c>
      <c r="J1849" s="552"/>
      <c r="K1849" s="572"/>
      <c r="L1849" s="556"/>
      <c r="M1849" s="572"/>
      <c r="N1849" s="556"/>
      <c r="O1849" s="556"/>
    </row>
    <row r="1850" spans="3:15">
      <c r="C1850" s="548">
        <f>IF(D1805="","-",+C1849+1)</f>
        <v>2054</v>
      </c>
      <c r="D1850" s="506">
        <f t="shared" si="137"/>
        <v>0</v>
      </c>
      <c r="E1850" s="549">
        <f t="shared" si="142"/>
        <v>0</v>
      </c>
      <c r="F1850" s="506">
        <f t="shared" si="138"/>
        <v>0</v>
      </c>
      <c r="G1850" s="554">
        <f t="shared" si="139"/>
        <v>0</v>
      </c>
      <c r="H1850" s="555">
        <f t="shared" si="140"/>
        <v>0</v>
      </c>
      <c r="I1850" s="552">
        <f t="shared" si="141"/>
        <v>0</v>
      </c>
      <c r="J1850" s="552"/>
      <c r="K1850" s="572"/>
      <c r="L1850" s="556"/>
      <c r="M1850" s="572"/>
      <c r="N1850" s="556"/>
      <c r="O1850" s="556"/>
    </row>
    <row r="1851" spans="3:15">
      <c r="C1851" s="548">
        <f>IF(D1805="","-",+C1850+1)</f>
        <v>2055</v>
      </c>
      <c r="D1851" s="506">
        <f t="shared" si="137"/>
        <v>0</v>
      </c>
      <c r="E1851" s="549">
        <f t="shared" si="142"/>
        <v>0</v>
      </c>
      <c r="F1851" s="506">
        <f t="shared" si="138"/>
        <v>0</v>
      </c>
      <c r="G1851" s="554">
        <f t="shared" si="139"/>
        <v>0</v>
      </c>
      <c r="H1851" s="555">
        <f t="shared" si="140"/>
        <v>0</v>
      </c>
      <c r="I1851" s="552">
        <f t="shared" si="141"/>
        <v>0</v>
      </c>
      <c r="J1851" s="552"/>
      <c r="K1851" s="572"/>
      <c r="L1851" s="556"/>
      <c r="M1851" s="572"/>
      <c r="N1851" s="556"/>
      <c r="O1851" s="556"/>
    </row>
    <row r="1852" spans="3:15">
      <c r="C1852" s="548">
        <f>IF(D1805="","-",+C1851+1)</f>
        <v>2056</v>
      </c>
      <c r="D1852" s="506">
        <f t="shared" si="137"/>
        <v>0</v>
      </c>
      <c r="E1852" s="549">
        <f t="shared" si="142"/>
        <v>0</v>
      </c>
      <c r="F1852" s="506">
        <f t="shared" si="138"/>
        <v>0</v>
      </c>
      <c r="G1852" s="554">
        <f t="shared" si="139"/>
        <v>0</v>
      </c>
      <c r="H1852" s="555">
        <f t="shared" si="140"/>
        <v>0</v>
      </c>
      <c r="I1852" s="552">
        <f t="shared" si="141"/>
        <v>0</v>
      </c>
      <c r="J1852" s="552"/>
      <c r="K1852" s="572"/>
      <c r="L1852" s="556"/>
      <c r="M1852" s="572"/>
      <c r="N1852" s="556"/>
      <c r="O1852" s="556"/>
    </row>
    <row r="1853" spans="3:15">
      <c r="C1853" s="548">
        <f>IF(D1805="","-",+C1852+1)</f>
        <v>2057</v>
      </c>
      <c r="D1853" s="506">
        <f t="shared" si="137"/>
        <v>0</v>
      </c>
      <c r="E1853" s="549">
        <f t="shared" si="142"/>
        <v>0</v>
      </c>
      <c r="F1853" s="506">
        <f t="shared" si="138"/>
        <v>0</v>
      </c>
      <c r="G1853" s="554">
        <f t="shared" si="139"/>
        <v>0</v>
      </c>
      <c r="H1853" s="555">
        <f t="shared" si="140"/>
        <v>0</v>
      </c>
      <c r="I1853" s="552">
        <f t="shared" si="141"/>
        <v>0</v>
      </c>
      <c r="J1853" s="552"/>
      <c r="K1853" s="572"/>
      <c r="L1853" s="556"/>
      <c r="M1853" s="572"/>
      <c r="N1853" s="556"/>
      <c r="O1853" s="556"/>
    </row>
    <row r="1854" spans="3:15">
      <c r="C1854" s="548">
        <f>IF(D1805="","-",+C1853+1)</f>
        <v>2058</v>
      </c>
      <c r="D1854" s="506">
        <f t="shared" si="137"/>
        <v>0</v>
      </c>
      <c r="E1854" s="549">
        <f t="shared" si="142"/>
        <v>0</v>
      </c>
      <c r="F1854" s="506">
        <f t="shared" si="138"/>
        <v>0</v>
      </c>
      <c r="G1854" s="554">
        <f t="shared" si="139"/>
        <v>0</v>
      </c>
      <c r="H1854" s="555">
        <f t="shared" si="140"/>
        <v>0</v>
      </c>
      <c r="I1854" s="552">
        <f t="shared" si="141"/>
        <v>0</v>
      </c>
      <c r="J1854" s="552"/>
      <c r="K1854" s="572"/>
      <c r="L1854" s="556"/>
      <c r="M1854" s="572"/>
      <c r="N1854" s="556"/>
      <c r="O1854" s="556"/>
    </row>
    <row r="1855" spans="3:15">
      <c r="C1855" s="548">
        <f>IF(D1805="","-",+C1854+1)</f>
        <v>2059</v>
      </c>
      <c r="D1855" s="506">
        <f t="shared" si="137"/>
        <v>0</v>
      </c>
      <c r="E1855" s="549">
        <f t="shared" si="142"/>
        <v>0</v>
      </c>
      <c r="F1855" s="506">
        <f t="shared" si="138"/>
        <v>0</v>
      </c>
      <c r="G1855" s="554">
        <f t="shared" si="139"/>
        <v>0</v>
      </c>
      <c r="H1855" s="555">
        <f t="shared" si="140"/>
        <v>0</v>
      </c>
      <c r="I1855" s="552">
        <f t="shared" si="141"/>
        <v>0</v>
      </c>
      <c r="J1855" s="552"/>
      <c r="K1855" s="572"/>
      <c r="L1855" s="556"/>
      <c r="M1855" s="572"/>
      <c r="N1855" s="556"/>
      <c r="O1855" s="556"/>
    </row>
    <row r="1856" spans="3:15">
      <c r="C1856" s="548">
        <f>IF(D1805="","-",+C1855+1)</f>
        <v>2060</v>
      </c>
      <c r="D1856" s="506">
        <f t="shared" si="137"/>
        <v>0</v>
      </c>
      <c r="E1856" s="549">
        <f t="shared" si="142"/>
        <v>0</v>
      </c>
      <c r="F1856" s="506">
        <f t="shared" si="138"/>
        <v>0</v>
      </c>
      <c r="G1856" s="554">
        <f t="shared" si="139"/>
        <v>0</v>
      </c>
      <c r="H1856" s="555">
        <f t="shared" si="140"/>
        <v>0</v>
      </c>
      <c r="I1856" s="552">
        <f t="shared" si="141"/>
        <v>0</v>
      </c>
      <c r="J1856" s="552"/>
      <c r="K1856" s="572"/>
      <c r="L1856" s="556"/>
      <c r="M1856" s="572"/>
      <c r="N1856" s="556"/>
      <c r="O1856" s="556"/>
    </row>
    <row r="1857" spans="3:15">
      <c r="C1857" s="548">
        <f>IF(D1805="","-",+C1856+1)</f>
        <v>2061</v>
      </c>
      <c r="D1857" s="506">
        <f t="shared" si="137"/>
        <v>0</v>
      </c>
      <c r="E1857" s="549">
        <f t="shared" si="142"/>
        <v>0</v>
      </c>
      <c r="F1857" s="506">
        <f t="shared" si="138"/>
        <v>0</v>
      </c>
      <c r="G1857" s="554">
        <f t="shared" si="139"/>
        <v>0</v>
      </c>
      <c r="H1857" s="555">
        <f t="shared" si="140"/>
        <v>0</v>
      </c>
      <c r="I1857" s="552">
        <f t="shared" si="141"/>
        <v>0</v>
      </c>
      <c r="J1857" s="552"/>
      <c r="K1857" s="572"/>
      <c r="L1857" s="556"/>
      <c r="M1857" s="572"/>
      <c r="N1857" s="556"/>
      <c r="O1857" s="556"/>
    </row>
    <row r="1858" spans="3:15">
      <c r="C1858" s="548">
        <f>IF(D1805="","-",+C1857+1)</f>
        <v>2062</v>
      </c>
      <c r="D1858" s="506">
        <f t="shared" si="137"/>
        <v>0</v>
      </c>
      <c r="E1858" s="549">
        <f t="shared" si="142"/>
        <v>0</v>
      </c>
      <c r="F1858" s="506">
        <f t="shared" si="138"/>
        <v>0</v>
      </c>
      <c r="G1858" s="554">
        <f t="shared" si="139"/>
        <v>0</v>
      </c>
      <c r="H1858" s="555">
        <f t="shared" si="140"/>
        <v>0</v>
      </c>
      <c r="I1858" s="552">
        <f t="shared" si="141"/>
        <v>0</v>
      </c>
      <c r="J1858" s="552"/>
      <c r="K1858" s="572"/>
      <c r="L1858" s="556"/>
      <c r="M1858" s="572"/>
      <c r="N1858" s="556"/>
      <c r="O1858" s="556"/>
    </row>
    <row r="1859" spans="3:15">
      <c r="C1859" s="548">
        <f>IF(D1805="","-",+C1858+1)</f>
        <v>2063</v>
      </c>
      <c r="D1859" s="506">
        <f t="shared" si="137"/>
        <v>0</v>
      </c>
      <c r="E1859" s="549">
        <f t="shared" si="142"/>
        <v>0</v>
      </c>
      <c r="F1859" s="506">
        <f t="shared" si="138"/>
        <v>0</v>
      </c>
      <c r="G1859" s="554">
        <f t="shared" si="139"/>
        <v>0</v>
      </c>
      <c r="H1859" s="555">
        <f t="shared" si="140"/>
        <v>0</v>
      </c>
      <c r="I1859" s="552">
        <f t="shared" si="141"/>
        <v>0</v>
      </c>
      <c r="J1859" s="552"/>
      <c r="K1859" s="572"/>
      <c r="L1859" s="556"/>
      <c r="M1859" s="572"/>
      <c r="N1859" s="556"/>
      <c r="O1859" s="556"/>
    </row>
    <row r="1860" spans="3:15">
      <c r="C1860" s="548">
        <f>IF(D1805="","-",+C1859+1)</f>
        <v>2064</v>
      </c>
      <c r="D1860" s="506">
        <f t="shared" si="137"/>
        <v>0</v>
      </c>
      <c r="E1860" s="549">
        <f t="shared" si="142"/>
        <v>0</v>
      </c>
      <c r="F1860" s="506">
        <f t="shared" si="138"/>
        <v>0</v>
      </c>
      <c r="G1860" s="554">
        <f t="shared" si="139"/>
        <v>0</v>
      </c>
      <c r="H1860" s="555">
        <f t="shared" si="140"/>
        <v>0</v>
      </c>
      <c r="I1860" s="552">
        <f t="shared" si="141"/>
        <v>0</v>
      </c>
      <c r="J1860" s="552"/>
      <c r="K1860" s="572"/>
      <c r="L1860" s="556"/>
      <c r="M1860" s="572"/>
      <c r="N1860" s="556"/>
      <c r="O1860" s="556"/>
    </row>
    <row r="1861" spans="3:15">
      <c r="C1861" s="548">
        <f>IF(D1805="","-",+C1860+1)</f>
        <v>2065</v>
      </c>
      <c r="D1861" s="506">
        <f t="shared" si="137"/>
        <v>0</v>
      </c>
      <c r="E1861" s="549">
        <f t="shared" si="142"/>
        <v>0</v>
      </c>
      <c r="F1861" s="506">
        <f t="shared" si="138"/>
        <v>0</v>
      </c>
      <c r="G1861" s="554">
        <f t="shared" si="139"/>
        <v>0</v>
      </c>
      <c r="H1861" s="555">
        <f t="shared" si="140"/>
        <v>0</v>
      </c>
      <c r="I1861" s="552">
        <f t="shared" si="141"/>
        <v>0</v>
      </c>
      <c r="J1861" s="552"/>
      <c r="K1861" s="572"/>
      <c r="L1861" s="556"/>
      <c r="M1861" s="572"/>
      <c r="N1861" s="556"/>
      <c r="O1861" s="556"/>
    </row>
    <row r="1862" spans="3:15">
      <c r="C1862" s="548">
        <f>IF(D1805="","-",+C1861+1)</f>
        <v>2066</v>
      </c>
      <c r="D1862" s="506">
        <f t="shared" si="137"/>
        <v>0</v>
      </c>
      <c r="E1862" s="549">
        <f t="shared" si="142"/>
        <v>0</v>
      </c>
      <c r="F1862" s="506">
        <f t="shared" si="138"/>
        <v>0</v>
      </c>
      <c r="G1862" s="554">
        <f t="shared" si="139"/>
        <v>0</v>
      </c>
      <c r="H1862" s="555">
        <f t="shared" si="140"/>
        <v>0</v>
      </c>
      <c r="I1862" s="552">
        <f t="shared" si="141"/>
        <v>0</v>
      </c>
      <c r="J1862" s="552"/>
      <c r="K1862" s="572"/>
      <c r="L1862" s="556"/>
      <c r="M1862" s="572"/>
      <c r="N1862" s="556"/>
      <c r="O1862" s="556"/>
    </row>
    <row r="1863" spans="3:15">
      <c r="C1863" s="548">
        <f>IF(D1805="","-",+C1862+1)</f>
        <v>2067</v>
      </c>
      <c r="D1863" s="506">
        <f t="shared" si="137"/>
        <v>0</v>
      </c>
      <c r="E1863" s="549">
        <f t="shared" si="142"/>
        <v>0</v>
      </c>
      <c r="F1863" s="506">
        <f t="shared" si="138"/>
        <v>0</v>
      </c>
      <c r="G1863" s="554">
        <f t="shared" si="139"/>
        <v>0</v>
      </c>
      <c r="H1863" s="555">
        <f t="shared" si="140"/>
        <v>0</v>
      </c>
      <c r="I1863" s="552">
        <f t="shared" si="141"/>
        <v>0</v>
      </c>
      <c r="J1863" s="552"/>
      <c r="K1863" s="572"/>
      <c r="L1863" s="556"/>
      <c r="M1863" s="572"/>
      <c r="N1863" s="556"/>
      <c r="O1863" s="556"/>
    </row>
    <row r="1864" spans="3:15">
      <c r="C1864" s="548">
        <f>IF(D1805="","-",+C1863+1)</f>
        <v>2068</v>
      </c>
      <c r="D1864" s="506">
        <f t="shared" si="137"/>
        <v>0</v>
      </c>
      <c r="E1864" s="549">
        <f t="shared" si="142"/>
        <v>0</v>
      </c>
      <c r="F1864" s="506">
        <f t="shared" si="138"/>
        <v>0</v>
      </c>
      <c r="G1864" s="554">
        <f t="shared" si="139"/>
        <v>0</v>
      </c>
      <c r="H1864" s="555">
        <f t="shared" si="140"/>
        <v>0</v>
      </c>
      <c r="I1864" s="552">
        <f t="shared" si="141"/>
        <v>0</v>
      </c>
      <c r="J1864" s="552"/>
      <c r="K1864" s="572"/>
      <c r="L1864" s="556"/>
      <c r="M1864" s="572"/>
      <c r="N1864" s="556"/>
      <c r="O1864" s="556"/>
    </row>
    <row r="1865" spans="3:15">
      <c r="C1865" s="548">
        <f>IF(D1805="","-",+C1864+1)</f>
        <v>2069</v>
      </c>
      <c r="D1865" s="506">
        <f t="shared" si="137"/>
        <v>0</v>
      </c>
      <c r="E1865" s="549">
        <f t="shared" si="142"/>
        <v>0</v>
      </c>
      <c r="F1865" s="506">
        <f t="shared" si="138"/>
        <v>0</v>
      </c>
      <c r="G1865" s="554">
        <f t="shared" si="139"/>
        <v>0</v>
      </c>
      <c r="H1865" s="555">
        <f t="shared" si="140"/>
        <v>0</v>
      </c>
      <c r="I1865" s="552">
        <f t="shared" si="141"/>
        <v>0</v>
      </c>
      <c r="J1865" s="552"/>
      <c r="K1865" s="572"/>
      <c r="L1865" s="556"/>
      <c r="M1865" s="572"/>
      <c r="N1865" s="556"/>
      <c r="O1865" s="556"/>
    </row>
    <row r="1866" spans="3:15">
      <c r="C1866" s="548">
        <f>IF(D1805="","-",+C1865+1)</f>
        <v>2070</v>
      </c>
      <c r="D1866" s="506">
        <f t="shared" si="137"/>
        <v>0</v>
      </c>
      <c r="E1866" s="549">
        <f t="shared" si="142"/>
        <v>0</v>
      </c>
      <c r="F1866" s="506">
        <f t="shared" si="138"/>
        <v>0</v>
      </c>
      <c r="G1866" s="554">
        <f t="shared" si="139"/>
        <v>0</v>
      </c>
      <c r="H1866" s="555">
        <f t="shared" si="140"/>
        <v>0</v>
      </c>
      <c r="I1866" s="552">
        <f t="shared" si="141"/>
        <v>0</v>
      </c>
      <c r="J1866" s="552"/>
      <c r="K1866" s="572"/>
      <c r="L1866" s="556"/>
      <c r="M1866" s="572"/>
      <c r="N1866" s="556"/>
      <c r="O1866" s="556"/>
    </row>
    <row r="1867" spans="3:15">
      <c r="C1867" s="548">
        <f>IF(D1805="","-",+C1866+1)</f>
        <v>2071</v>
      </c>
      <c r="D1867" s="506">
        <f t="shared" si="137"/>
        <v>0</v>
      </c>
      <c r="E1867" s="549">
        <f t="shared" si="142"/>
        <v>0</v>
      </c>
      <c r="F1867" s="506">
        <f t="shared" si="138"/>
        <v>0</v>
      </c>
      <c r="G1867" s="554">
        <f t="shared" si="139"/>
        <v>0</v>
      </c>
      <c r="H1867" s="555">
        <f t="shared" si="140"/>
        <v>0</v>
      </c>
      <c r="I1867" s="552">
        <f t="shared" si="141"/>
        <v>0</v>
      </c>
      <c r="J1867" s="552"/>
      <c r="K1867" s="572"/>
      <c r="L1867" s="556"/>
      <c r="M1867" s="572"/>
      <c r="N1867" s="556"/>
      <c r="O1867" s="556"/>
    </row>
    <row r="1868" spans="3:15">
      <c r="C1868" s="548">
        <f>IF(D1805="","-",+C1867+1)</f>
        <v>2072</v>
      </c>
      <c r="D1868" s="506">
        <f t="shared" si="137"/>
        <v>0</v>
      </c>
      <c r="E1868" s="549">
        <f t="shared" si="142"/>
        <v>0</v>
      </c>
      <c r="F1868" s="506">
        <f t="shared" si="138"/>
        <v>0</v>
      </c>
      <c r="G1868" s="554">
        <f t="shared" si="139"/>
        <v>0</v>
      </c>
      <c r="H1868" s="555">
        <f t="shared" si="140"/>
        <v>0</v>
      </c>
      <c r="I1868" s="552">
        <f t="shared" si="141"/>
        <v>0</v>
      </c>
      <c r="J1868" s="552"/>
      <c r="K1868" s="572"/>
      <c r="L1868" s="556"/>
      <c r="M1868" s="572"/>
      <c r="N1868" s="556"/>
      <c r="O1868" s="556"/>
    </row>
    <row r="1869" spans="3:15">
      <c r="C1869" s="548">
        <f>IF(D1805="","-",+C1868+1)</f>
        <v>2073</v>
      </c>
      <c r="D1869" s="506">
        <f t="shared" si="137"/>
        <v>0</v>
      </c>
      <c r="E1869" s="549">
        <f t="shared" si="142"/>
        <v>0</v>
      </c>
      <c r="F1869" s="506">
        <f t="shared" si="138"/>
        <v>0</v>
      </c>
      <c r="G1869" s="554">
        <f t="shared" si="139"/>
        <v>0</v>
      </c>
      <c r="H1869" s="555">
        <f t="shared" si="140"/>
        <v>0</v>
      </c>
      <c r="I1869" s="552">
        <f t="shared" si="141"/>
        <v>0</v>
      </c>
      <c r="J1869" s="552"/>
      <c r="K1869" s="572"/>
      <c r="L1869" s="556"/>
      <c r="M1869" s="572"/>
      <c r="N1869" s="556"/>
      <c r="O1869" s="556"/>
    </row>
    <row r="1870" spans="3:15" ht="13.5" thickBot="1">
      <c r="C1870" s="558">
        <f>IF(D1805="","-",+C1869+1)</f>
        <v>2074</v>
      </c>
      <c r="D1870" s="559">
        <f t="shared" si="137"/>
        <v>0</v>
      </c>
      <c r="E1870" s="560">
        <f t="shared" si="142"/>
        <v>0</v>
      </c>
      <c r="F1870" s="559">
        <f t="shared" si="138"/>
        <v>0</v>
      </c>
      <c r="G1870" s="561">
        <f t="shared" si="139"/>
        <v>0</v>
      </c>
      <c r="H1870" s="561">
        <f t="shared" si="140"/>
        <v>0</v>
      </c>
      <c r="I1870" s="562">
        <f t="shared" si="141"/>
        <v>0</v>
      </c>
      <c r="J1870" s="552"/>
      <c r="K1870" s="573"/>
      <c r="L1870" s="563"/>
      <c r="M1870" s="573"/>
      <c r="N1870" s="563"/>
      <c r="O1870" s="563"/>
    </row>
    <row r="1871" spans="3:15">
      <c r="C1871" s="506" t="s">
        <v>83</v>
      </c>
      <c r="D1871" s="503"/>
      <c r="E1871" s="503">
        <f>SUM(E1811:E1870)</f>
        <v>52397331.300000004</v>
      </c>
      <c r="F1871" s="503"/>
      <c r="G1871" s="503">
        <f>SUM(G1811:G1870)</f>
        <v>188484828.54609841</v>
      </c>
      <c r="H1871" s="503">
        <f>SUM(H1811:H1870)</f>
        <v>188484828.54609841</v>
      </c>
      <c r="I1871" s="503">
        <f>SUM(I1811:I1870)</f>
        <v>0</v>
      </c>
      <c r="J1871" s="503"/>
      <c r="K1871" s="503"/>
      <c r="L1871" s="503"/>
      <c r="M1871" s="503"/>
      <c r="N1871" s="503"/>
      <c r="O1871" s="3"/>
    </row>
    <row r="1872" spans="3:15">
      <c r="D1872" s="47"/>
      <c r="E1872" s="3"/>
      <c r="F1872" s="3"/>
      <c r="G1872" s="3"/>
      <c r="H1872" s="490"/>
      <c r="I1872" s="490"/>
      <c r="J1872" s="503"/>
      <c r="K1872" s="490"/>
      <c r="L1872" s="490"/>
      <c r="M1872" s="490"/>
      <c r="N1872" s="490"/>
      <c r="O1872" s="3"/>
    </row>
    <row r="1873" spans="1:16">
      <c r="C1873" s="3" t="s">
        <v>13</v>
      </c>
      <c r="D1873" s="47"/>
      <c r="E1873" s="3"/>
      <c r="F1873" s="3"/>
      <c r="G1873" s="3"/>
      <c r="H1873" s="490"/>
      <c r="I1873" s="490"/>
      <c r="J1873" s="503"/>
      <c r="K1873" s="490"/>
      <c r="L1873" s="490"/>
      <c r="M1873" s="490"/>
      <c r="N1873" s="490"/>
      <c r="O1873" s="3"/>
    </row>
    <row r="1874" spans="1:16">
      <c r="C1874" s="3"/>
      <c r="D1874" s="47"/>
      <c r="E1874" s="3"/>
      <c r="F1874" s="3"/>
      <c r="G1874" s="3"/>
      <c r="H1874" s="490"/>
      <c r="I1874" s="490"/>
      <c r="J1874" s="503"/>
      <c r="K1874" s="490"/>
      <c r="L1874" s="490"/>
      <c r="M1874" s="490"/>
      <c r="N1874" s="490"/>
      <c r="O1874" s="3"/>
    </row>
    <row r="1875" spans="1:16">
      <c r="C1875" s="518" t="s">
        <v>14</v>
      </c>
      <c r="D1875" s="506"/>
      <c r="E1875" s="506"/>
      <c r="F1875" s="506"/>
      <c r="G1875" s="503"/>
      <c r="H1875" s="503"/>
      <c r="I1875" s="564"/>
      <c r="J1875" s="564"/>
      <c r="K1875" s="564"/>
      <c r="L1875" s="564"/>
      <c r="M1875" s="564"/>
      <c r="N1875" s="564"/>
      <c r="O1875" s="3"/>
    </row>
    <row r="1876" spans="1:16">
      <c r="C1876" s="507" t="s">
        <v>263</v>
      </c>
      <c r="D1876" s="506"/>
      <c r="E1876" s="506"/>
      <c r="F1876" s="506"/>
      <c r="G1876" s="503"/>
      <c r="H1876" s="503"/>
      <c r="I1876" s="564"/>
      <c r="J1876" s="564"/>
      <c r="K1876" s="564"/>
      <c r="L1876" s="564"/>
      <c r="M1876" s="564"/>
      <c r="N1876" s="564"/>
      <c r="O1876" s="3"/>
    </row>
    <row r="1877" spans="1:16">
      <c r="C1877" s="507" t="s">
        <v>84</v>
      </c>
      <c r="D1877" s="506"/>
      <c r="E1877" s="506"/>
      <c r="F1877" s="506"/>
      <c r="G1877" s="503"/>
      <c r="H1877" s="503"/>
      <c r="I1877" s="564"/>
      <c r="J1877" s="564"/>
      <c r="K1877" s="564"/>
      <c r="L1877" s="564"/>
      <c r="M1877" s="564"/>
      <c r="N1877" s="564"/>
      <c r="O1877" s="3"/>
    </row>
    <row r="1878" spans="1:16">
      <c r="C1878" s="507"/>
      <c r="D1878" s="506"/>
      <c r="E1878" s="506"/>
      <c r="F1878" s="506"/>
      <c r="G1878" s="503"/>
      <c r="H1878" s="503"/>
      <c r="I1878" s="564"/>
      <c r="J1878" s="564"/>
      <c r="K1878" s="564"/>
      <c r="L1878" s="564"/>
      <c r="M1878" s="564"/>
      <c r="N1878" s="564"/>
      <c r="O1878" s="3"/>
    </row>
    <row r="1879" spans="1:16">
      <c r="C1879" s="1200" t="s">
        <v>6</v>
      </c>
      <c r="D1879" s="1200"/>
      <c r="E1879" s="1200"/>
      <c r="F1879" s="1200"/>
      <c r="G1879" s="1200"/>
      <c r="H1879" s="1200"/>
      <c r="I1879" s="1200"/>
      <c r="J1879" s="1200"/>
      <c r="K1879" s="1200"/>
      <c r="L1879" s="1200"/>
      <c r="M1879" s="1200"/>
      <c r="N1879" s="1200"/>
      <c r="O1879" s="1200"/>
    </row>
    <row r="1880" spans="1:16">
      <c r="C1880" s="1200"/>
      <c r="D1880" s="1200"/>
      <c r="E1880" s="1200"/>
      <c r="F1880" s="1200"/>
      <c r="G1880" s="1200"/>
      <c r="H1880" s="1200"/>
      <c r="I1880" s="1200"/>
      <c r="J1880" s="1200"/>
      <c r="K1880" s="1200"/>
      <c r="L1880" s="1200"/>
      <c r="M1880" s="1200"/>
      <c r="N1880" s="1200"/>
      <c r="O1880" s="1200"/>
    </row>
    <row r="1881" spans="1:16">
      <c r="C1881" s="507"/>
      <c r="D1881" s="506"/>
      <c r="E1881" s="506"/>
      <c r="F1881" s="506"/>
      <c r="G1881" s="503"/>
      <c r="H1881" s="503"/>
    </row>
    <row r="1882" spans="1:16" ht="20.25">
      <c r="A1882" s="447" t="str">
        <f>""&amp;A1806&amp;" Worksheet J -  ATRR PROJECTED Calculation for PJM Projects Charged to Benefiting Zones"</f>
        <v xml:space="preserve"> Worksheet J -  ATRR PROJECTED Calculation for PJM Projects Charged to Benefiting Zones</v>
      </c>
      <c r="B1882" s="3"/>
      <c r="C1882" s="3"/>
      <c r="D1882" s="47"/>
      <c r="E1882" s="3"/>
      <c r="F1882" s="489"/>
      <c r="G1882" s="3"/>
      <c r="H1882" s="490"/>
      <c r="K1882" s="398"/>
      <c r="L1882" s="398"/>
      <c r="M1882" s="398"/>
      <c r="N1882" s="398" t="str">
        <f>"Page "&amp;SUM(P$8:P1882)&amp;" of "</f>
        <v xml:space="preserve">Page 22 of </v>
      </c>
      <c r="O1882" s="448">
        <f>COUNT(P$8:P$56653)</f>
        <v>23</v>
      </c>
      <c r="P1882">
        <v>1</v>
      </c>
    </row>
    <row r="1883" spans="1:16">
      <c r="B1883" s="3"/>
      <c r="C1883" s="3"/>
      <c r="D1883" s="47"/>
      <c r="E1883" s="3"/>
      <c r="F1883" s="3"/>
      <c r="G1883" s="3"/>
      <c r="H1883" s="490"/>
      <c r="I1883" s="3"/>
      <c r="J1883" s="3"/>
      <c r="K1883" s="3"/>
      <c r="L1883" s="3"/>
      <c r="M1883" s="3"/>
      <c r="N1883" s="3"/>
      <c r="O1883" s="3"/>
    </row>
    <row r="1884" spans="1:16" ht="18">
      <c r="B1884" s="449" t="s">
        <v>464</v>
      </c>
      <c r="C1884" s="122" t="s">
        <v>85</v>
      </c>
      <c r="D1884" s="47"/>
      <c r="E1884" s="3"/>
      <c r="F1884" s="3"/>
      <c r="G1884" s="3"/>
      <c r="H1884" s="490"/>
      <c r="I1884" s="490"/>
      <c r="J1884" s="503"/>
      <c r="K1884" s="490"/>
      <c r="L1884" s="490"/>
      <c r="M1884" s="490"/>
      <c r="N1884" s="490"/>
      <c r="O1884" s="3"/>
    </row>
    <row r="1885" spans="1:16" ht="18.75">
      <c r="B1885" s="449"/>
      <c r="C1885" s="6"/>
      <c r="D1885" s="47"/>
      <c r="E1885" s="3"/>
      <c r="F1885" s="3"/>
      <c r="G1885" s="3"/>
      <c r="H1885" s="490"/>
      <c r="I1885" s="490"/>
      <c r="J1885" s="503"/>
      <c r="K1885" s="490"/>
      <c r="L1885" s="490"/>
      <c r="M1885" s="490"/>
      <c r="N1885" s="490"/>
      <c r="O1885" s="3"/>
    </row>
    <row r="1886" spans="1:16" ht="18.75">
      <c r="B1886" s="449"/>
      <c r="C1886" s="6" t="s">
        <v>86</v>
      </c>
      <c r="D1886" s="47"/>
      <c r="E1886" s="3"/>
      <c r="F1886" s="3"/>
      <c r="G1886" s="3"/>
      <c r="H1886" s="490"/>
      <c r="I1886" s="490"/>
      <c r="J1886" s="503"/>
      <c r="K1886" s="490"/>
      <c r="L1886" s="490"/>
      <c r="M1886" s="490"/>
      <c r="N1886" s="490"/>
      <c r="O1886" s="3"/>
    </row>
    <row r="1887" spans="1:16" ht="15.75" thickBot="1">
      <c r="C1887" s="131"/>
      <c r="D1887" s="47"/>
      <c r="E1887" s="3"/>
      <c r="F1887" s="3"/>
      <c r="G1887" s="3"/>
      <c r="H1887" s="490"/>
      <c r="I1887" s="490"/>
      <c r="J1887" s="503"/>
      <c r="K1887" s="490"/>
      <c r="L1887" s="490"/>
      <c r="M1887" s="490"/>
      <c r="N1887" s="490"/>
      <c r="O1887" s="3"/>
    </row>
    <row r="1888" spans="1:16" ht="15.75">
      <c r="C1888" s="451" t="s">
        <v>87</v>
      </c>
      <c r="D1888" s="47"/>
      <c r="E1888" s="3"/>
      <c r="F1888" s="3"/>
      <c r="G1888" s="566"/>
      <c r="H1888" s="3" t="s">
        <v>66</v>
      </c>
      <c r="I1888" s="3"/>
      <c r="J1888" s="3"/>
      <c r="K1888" s="509" t="s">
        <v>91</v>
      </c>
      <c r="L1888" s="510"/>
      <c r="M1888" s="511"/>
      <c r="N1888" s="512">
        <f>IF(I1894=0,0,VLOOKUP(I1894,C1901:O1960,5))</f>
        <v>374023.32456590922</v>
      </c>
      <c r="O1888" s="3"/>
    </row>
    <row r="1889" spans="2:15" ht="15.75">
      <c r="C1889" s="451"/>
      <c r="D1889" s="47"/>
      <c r="E1889" s="3"/>
      <c r="F1889" s="3"/>
      <c r="G1889" s="3"/>
      <c r="H1889" s="513"/>
      <c r="I1889" s="513"/>
      <c r="J1889" s="514"/>
      <c r="K1889" s="515" t="s">
        <v>92</v>
      </c>
      <c r="L1889" s="516"/>
      <c r="M1889" s="3"/>
      <c r="N1889" s="517">
        <f>IF(I1894=0,0,VLOOKUP(I1894,C1901:O1960,6))</f>
        <v>374023.32456590922</v>
      </c>
      <c r="O1889" s="3"/>
    </row>
    <row r="1890" spans="2:15" ht="13.5" thickBot="1">
      <c r="C1890" s="518" t="s">
        <v>88</v>
      </c>
      <c r="D1890" s="1194" t="s">
        <v>824</v>
      </c>
      <c r="E1890" s="1194"/>
      <c r="F1890" s="1194"/>
      <c r="G1890" s="1194"/>
      <c r="H1890" s="1194"/>
      <c r="I1890" s="1194"/>
      <c r="J1890" s="503"/>
      <c r="K1890" s="519" t="s">
        <v>230</v>
      </c>
      <c r="L1890" s="520"/>
      <c r="M1890" s="520"/>
      <c r="N1890" s="521">
        <f>+N1889-N1888</f>
        <v>0</v>
      </c>
      <c r="O1890" s="3"/>
    </row>
    <row r="1891" spans="2:15">
      <c r="C1891" s="522"/>
      <c r="D1891" s="523"/>
      <c r="E1891" s="506"/>
      <c r="F1891" s="506"/>
      <c r="G1891" s="524"/>
      <c r="H1891" s="490"/>
      <c r="I1891" s="490"/>
      <c r="J1891" s="503"/>
      <c r="K1891" s="490"/>
      <c r="L1891" s="490"/>
      <c r="M1891" s="490"/>
      <c r="N1891" s="490"/>
      <c r="O1891" s="3"/>
    </row>
    <row r="1892" spans="2:15" ht="13.5" thickBot="1">
      <c r="C1892" s="522"/>
      <c r="D1892" s="3"/>
      <c r="E1892" s="524"/>
      <c r="F1892" s="524"/>
      <c r="G1892" s="524"/>
      <c r="H1892" s="524"/>
      <c r="I1892" s="524"/>
      <c r="J1892" s="524"/>
      <c r="K1892" s="524"/>
      <c r="L1892" s="524"/>
      <c r="M1892" s="524"/>
      <c r="N1892" s="524"/>
      <c r="O1892" s="3"/>
    </row>
    <row r="1893" spans="2:15" ht="13.5" thickBot="1">
      <c r="C1893" s="525" t="s">
        <v>89</v>
      </c>
      <c r="D1893" s="526"/>
      <c r="E1893" s="526"/>
      <c r="F1893" s="526"/>
      <c r="G1893" s="526"/>
      <c r="H1893" s="526"/>
      <c r="I1893" s="527"/>
      <c r="K1893" s="3"/>
      <c r="L1893" s="3"/>
      <c r="M1893" s="3"/>
      <c r="N1893" s="3"/>
      <c r="O1893" s="3"/>
    </row>
    <row r="1894" spans="2:15" ht="15">
      <c r="C1894" s="528" t="s">
        <v>67</v>
      </c>
      <c r="D1894" s="568">
        <v>2647880.4400000004</v>
      </c>
      <c r="E1894" s="3" t="s">
        <v>68</v>
      </c>
      <c r="G1894" s="47"/>
      <c r="H1894" s="47"/>
      <c r="I1894" s="529">
        <f>$L$26</f>
        <v>2026</v>
      </c>
      <c r="J1894" s="70"/>
      <c r="K1894" s="1193" t="s">
        <v>239</v>
      </c>
      <c r="L1894" s="1193"/>
      <c r="M1894" s="1193"/>
      <c r="N1894" s="1193"/>
      <c r="O1894" s="1193"/>
    </row>
    <row r="1895" spans="2:15">
      <c r="C1895" s="528" t="s">
        <v>70</v>
      </c>
      <c r="D1895" s="569">
        <v>2017</v>
      </c>
      <c r="E1895" s="528" t="s">
        <v>71</v>
      </c>
      <c r="F1895" s="47"/>
      <c r="H1895"/>
      <c r="I1895" s="570">
        <f>IF(G1888="",0,$F$17)</f>
        <v>0</v>
      </c>
      <c r="J1895" s="530"/>
      <c r="K1895" s="503" t="s">
        <v>239</v>
      </c>
    </row>
    <row r="1896" spans="2:15">
      <c r="C1896" s="528" t="s">
        <v>72</v>
      </c>
      <c r="D1896" s="568">
        <v>12</v>
      </c>
      <c r="E1896" s="528" t="s">
        <v>73</v>
      </c>
      <c r="F1896" s="47"/>
      <c r="H1896"/>
      <c r="I1896" s="531">
        <f>$G$70</f>
        <v>0.14912278949438812</v>
      </c>
      <c r="J1896" s="489"/>
      <c r="K1896" t="str">
        <f>"          INPUT PROJECTED ARR (WITH &amp; WITHOUT INCENTIVES) FROM EACH PRIOR YEAR"</f>
        <v xml:space="preserve">          INPUT PROJECTED ARR (WITH &amp; WITHOUT INCENTIVES) FROM EACH PRIOR YEAR</v>
      </c>
    </row>
    <row r="1897" spans="2:15">
      <c r="C1897" s="528" t="s">
        <v>74</v>
      </c>
      <c r="D1897" s="532">
        <f>$G$79</f>
        <v>34</v>
      </c>
      <c r="E1897" s="528" t="s">
        <v>75</v>
      </c>
      <c r="F1897" s="47"/>
      <c r="H1897"/>
      <c r="I1897" s="531">
        <f>IF(G1888="",I1896,$G$69)</f>
        <v>0.14912278949438812</v>
      </c>
      <c r="J1897" s="489"/>
      <c r="K1897" t="s">
        <v>152</v>
      </c>
    </row>
    <row r="1898" spans="2:15" ht="13.5" thickBot="1">
      <c r="C1898" s="528" t="s">
        <v>76</v>
      </c>
      <c r="D1898" s="567" t="s">
        <v>802</v>
      </c>
      <c r="E1898" s="533" t="s">
        <v>77</v>
      </c>
      <c r="F1898" s="534"/>
      <c r="G1898" s="535"/>
      <c r="H1898" s="535"/>
      <c r="I1898" s="521">
        <f>IF(D1894=0,0,D1894/D1897)</f>
        <v>77878.836470588241</v>
      </c>
      <c r="J1898" s="503"/>
      <c r="K1898" s="503" t="s">
        <v>158</v>
      </c>
      <c r="L1898" s="503"/>
      <c r="M1898" s="503"/>
      <c r="N1898" s="503"/>
      <c r="O1898" s="3"/>
    </row>
    <row r="1899" spans="2:15" ht="38.25">
      <c r="B1899" s="450"/>
      <c r="C1899" s="536" t="s">
        <v>67</v>
      </c>
      <c r="D1899" s="537" t="s">
        <v>78</v>
      </c>
      <c r="E1899" s="538" t="s">
        <v>79</v>
      </c>
      <c r="F1899" s="537" t="s">
        <v>80</v>
      </c>
      <c r="G1899" s="538" t="s">
        <v>151</v>
      </c>
      <c r="H1899" s="539" t="s">
        <v>151</v>
      </c>
      <c r="I1899" s="536" t="s">
        <v>90</v>
      </c>
      <c r="J1899" s="540"/>
      <c r="K1899" s="538" t="s">
        <v>160</v>
      </c>
      <c r="L1899" s="541"/>
      <c r="M1899" s="538" t="s">
        <v>160</v>
      </c>
      <c r="N1899" s="541"/>
      <c r="O1899" s="541"/>
    </row>
    <row r="1900" spans="2:15" ht="13.5" thickBot="1">
      <c r="C1900" s="542" t="s">
        <v>467</v>
      </c>
      <c r="D1900" s="543" t="s">
        <v>468</v>
      </c>
      <c r="E1900" s="542" t="s">
        <v>361</v>
      </c>
      <c r="F1900" s="543" t="s">
        <v>468</v>
      </c>
      <c r="G1900" s="544" t="s">
        <v>93</v>
      </c>
      <c r="H1900" s="545" t="s">
        <v>95</v>
      </c>
      <c r="I1900" s="542" t="s">
        <v>15</v>
      </c>
      <c r="J1900" s="546"/>
      <c r="K1900" s="544" t="s">
        <v>82</v>
      </c>
      <c r="L1900" s="547"/>
      <c r="M1900" s="544" t="s">
        <v>95</v>
      </c>
      <c r="N1900" s="547"/>
      <c r="O1900" s="547"/>
    </row>
    <row r="1901" spans="2:15">
      <c r="C1901" s="548">
        <f>IF(D1895= "","-",D1895)</f>
        <v>2017</v>
      </c>
      <c r="D1901" s="506">
        <f>+D1894</f>
        <v>2647880.4400000004</v>
      </c>
      <c r="E1901" s="549">
        <f>+I1898/12*(12-D1896)</f>
        <v>0</v>
      </c>
      <c r="F1901" s="506">
        <f>+D1901-E1901</f>
        <v>2647880.4400000004</v>
      </c>
      <c r="G1901" s="723">
        <f>+$I$96*((D1901+F1901)/2)+E1901</f>
        <v>394859.31746042788</v>
      </c>
      <c r="H1901" s="724">
        <f>$I$97*((D1901+F1901)/2)+E1901</f>
        <v>394859.31746042788</v>
      </c>
      <c r="I1901" s="552">
        <f>+H1901-G1901</f>
        <v>0</v>
      </c>
      <c r="J1901" s="552"/>
      <c r="K1901" s="571">
        <v>525167</v>
      </c>
      <c r="L1901" s="553"/>
      <c r="M1901" s="571">
        <v>525167</v>
      </c>
      <c r="N1901" s="553"/>
      <c r="O1901" s="553"/>
    </row>
    <row r="1902" spans="2:15">
      <c r="C1902" s="974">
        <f>IF(D1895="","-",+C1901+1)</f>
        <v>2018</v>
      </c>
      <c r="D1902" s="506">
        <f t="shared" ref="D1902:D1960" si="143">F1901</f>
        <v>2647880.4400000004</v>
      </c>
      <c r="E1902" s="549">
        <f>IF(D1902&gt;$I$1898,$I$1898,D1902)</f>
        <v>77878.836470588241</v>
      </c>
      <c r="F1902" s="506">
        <f t="shared" ref="F1902:F1960" si="144">+D1902-E1902</f>
        <v>2570001.6035294123</v>
      </c>
      <c r="G1902" s="554">
        <f t="shared" ref="G1902:G1960" si="145">+$I$96*((D1902+F1902)/2)+E1902</f>
        <v>466931.39926248038</v>
      </c>
      <c r="H1902" s="555">
        <f t="shared" ref="H1902:H1960" si="146">$I$97*((D1902+F1902)/2)+E1902</f>
        <v>466931.39926248038</v>
      </c>
      <c r="I1902" s="552">
        <f t="shared" ref="I1902:I1960" si="147">+H1902-G1902</f>
        <v>0</v>
      </c>
      <c r="J1902" s="552"/>
      <c r="K1902" s="572">
        <v>400069</v>
      </c>
      <c r="L1902" s="556"/>
      <c r="M1902" s="572">
        <v>400069</v>
      </c>
      <c r="N1902" s="556"/>
      <c r="O1902" s="556"/>
    </row>
    <row r="1903" spans="2:15">
      <c r="C1903" s="974">
        <f>IF(D1895="","-",+C1902+1)</f>
        <v>2019</v>
      </c>
      <c r="D1903" s="506">
        <f t="shared" si="143"/>
        <v>2570001.6035294123</v>
      </c>
      <c r="E1903" s="549">
        <f t="shared" ref="E1903:E1960" si="148">IF(D1903&gt;$I$1898,$I$1898,D1903)</f>
        <v>77878.836470588241</v>
      </c>
      <c r="F1903" s="506">
        <f t="shared" si="144"/>
        <v>2492122.7670588242</v>
      </c>
      <c r="G1903" s="554">
        <f t="shared" si="145"/>
        <v>455317.88992540899</v>
      </c>
      <c r="H1903" s="555">
        <f t="shared" si="146"/>
        <v>455317.88992540899</v>
      </c>
      <c r="I1903" s="552">
        <f t="shared" si="147"/>
        <v>0</v>
      </c>
      <c r="J1903" s="552"/>
      <c r="K1903" s="572">
        <v>448563.12957359222</v>
      </c>
      <c r="L1903" s="556"/>
      <c r="M1903" s="572">
        <v>448563.12957359222</v>
      </c>
      <c r="N1903" s="556"/>
      <c r="O1903" s="556"/>
    </row>
    <row r="1904" spans="2:15">
      <c r="C1904" s="974">
        <f>IF(D1895="","-",+C1903+1)</f>
        <v>2020</v>
      </c>
      <c r="D1904" s="506">
        <f t="shared" si="143"/>
        <v>2492122.7670588242</v>
      </c>
      <c r="E1904" s="549">
        <f t="shared" si="148"/>
        <v>77878.836470588241</v>
      </c>
      <c r="F1904" s="506">
        <f t="shared" si="144"/>
        <v>2414243.9305882361</v>
      </c>
      <c r="G1904" s="554">
        <f t="shared" si="145"/>
        <v>443704.3805883376</v>
      </c>
      <c r="H1904" s="555">
        <f t="shared" si="146"/>
        <v>443704.3805883376</v>
      </c>
      <c r="I1904" s="552">
        <f t="shared" si="147"/>
        <v>0</v>
      </c>
      <c r="J1904" s="552"/>
      <c r="K1904" s="572">
        <v>464920.14058627747</v>
      </c>
      <c r="L1904" s="556"/>
      <c r="M1904" s="572">
        <v>464920.14058627747</v>
      </c>
      <c r="N1904" s="556"/>
      <c r="O1904" s="556"/>
    </row>
    <row r="1905" spans="3:15">
      <c r="C1905" s="974">
        <f>IF(D1895="","-",+C1904+1)</f>
        <v>2021</v>
      </c>
      <c r="D1905" s="506">
        <f t="shared" si="143"/>
        <v>2414243.9305882361</v>
      </c>
      <c r="E1905" s="549">
        <f t="shared" si="148"/>
        <v>77878.836470588241</v>
      </c>
      <c r="F1905" s="506">
        <f t="shared" si="144"/>
        <v>2336365.094117648</v>
      </c>
      <c r="G1905" s="554">
        <f t="shared" si="145"/>
        <v>432090.87125126622</v>
      </c>
      <c r="H1905" s="555">
        <f t="shared" si="146"/>
        <v>432090.87125126622</v>
      </c>
      <c r="I1905" s="552">
        <f t="shared" si="147"/>
        <v>0</v>
      </c>
      <c r="J1905" s="552"/>
      <c r="K1905" s="572">
        <v>423736.00959125964</v>
      </c>
      <c r="L1905" s="556"/>
      <c r="M1905" s="572">
        <v>423736.00959125964</v>
      </c>
      <c r="N1905" s="556"/>
      <c r="O1905" s="556"/>
    </row>
    <row r="1906" spans="3:15">
      <c r="C1906" s="974">
        <f>IF(D1895="","-",+C1905+1)</f>
        <v>2022</v>
      </c>
      <c r="D1906" s="506">
        <f t="shared" si="143"/>
        <v>2336365.094117648</v>
      </c>
      <c r="E1906" s="549">
        <f t="shared" si="148"/>
        <v>77878.836470588241</v>
      </c>
      <c r="F1906" s="506">
        <f t="shared" si="144"/>
        <v>2258486.2576470599</v>
      </c>
      <c r="G1906" s="554">
        <f t="shared" si="145"/>
        <v>420477.36191419483</v>
      </c>
      <c r="H1906" s="555">
        <f t="shared" si="146"/>
        <v>420477.36191419483</v>
      </c>
      <c r="I1906" s="552">
        <f t="shared" si="147"/>
        <v>0</v>
      </c>
      <c r="J1906" s="552"/>
      <c r="K1906" s="572">
        <v>424997.92376027984</v>
      </c>
      <c r="L1906" s="556"/>
      <c r="M1906" s="572">
        <v>424997.92376027984</v>
      </c>
      <c r="N1906" s="556"/>
      <c r="O1906" s="556"/>
    </row>
    <row r="1907" spans="3:15">
      <c r="C1907" s="974">
        <f>IF(D1895="","-",+C1906+1)</f>
        <v>2023</v>
      </c>
      <c r="D1907" s="506">
        <f t="shared" si="143"/>
        <v>2258486.2576470599</v>
      </c>
      <c r="E1907" s="549">
        <f t="shared" si="148"/>
        <v>77878.836470588241</v>
      </c>
      <c r="F1907" s="506">
        <f t="shared" si="144"/>
        <v>2180607.4211764717</v>
      </c>
      <c r="G1907" s="554">
        <f t="shared" si="145"/>
        <v>408863.85257712344</v>
      </c>
      <c r="H1907" s="555">
        <f t="shared" si="146"/>
        <v>408863.85257712344</v>
      </c>
      <c r="I1907" s="552">
        <f t="shared" si="147"/>
        <v>0</v>
      </c>
      <c r="J1907" s="552"/>
      <c r="K1907" s="572">
        <v>416161.16029641713</v>
      </c>
      <c r="L1907" s="556"/>
      <c r="M1907" s="572">
        <v>416161.16029641713</v>
      </c>
      <c r="N1907" s="556"/>
      <c r="O1907" s="556"/>
    </row>
    <row r="1908" spans="3:15">
      <c r="C1908" s="548">
        <f>IF(D1895="","-",+C1907+1)</f>
        <v>2024</v>
      </c>
      <c r="D1908" s="506">
        <f t="shared" si="143"/>
        <v>2180607.4211764717</v>
      </c>
      <c r="E1908" s="549">
        <f t="shared" si="148"/>
        <v>77878.836470588241</v>
      </c>
      <c r="F1908" s="506">
        <f t="shared" si="144"/>
        <v>2102728.5847058836</v>
      </c>
      <c r="G1908" s="554">
        <f t="shared" si="145"/>
        <v>397250.34324005205</v>
      </c>
      <c r="H1908" s="555">
        <f t="shared" si="146"/>
        <v>397250.34324005205</v>
      </c>
      <c r="I1908" s="552">
        <f t="shared" si="147"/>
        <v>0</v>
      </c>
      <c r="J1908" s="552"/>
      <c r="K1908" s="572">
        <v>398326.13257822488</v>
      </c>
      <c r="L1908" s="556"/>
      <c r="M1908" s="572">
        <v>398326.13257822488</v>
      </c>
      <c r="N1908" s="556"/>
      <c r="O1908" s="556"/>
    </row>
    <row r="1909" spans="3:15">
      <c r="C1909" s="548">
        <f>IF(D1895="","-",+C1908+1)</f>
        <v>2025</v>
      </c>
      <c r="D1909" s="506">
        <f t="shared" si="143"/>
        <v>2102728.5847058836</v>
      </c>
      <c r="E1909" s="549">
        <f t="shared" si="148"/>
        <v>77878.836470588241</v>
      </c>
      <c r="F1909" s="506">
        <f t="shared" si="144"/>
        <v>2024849.7482352953</v>
      </c>
      <c r="G1909" s="554">
        <f t="shared" si="145"/>
        <v>385636.83390298067</v>
      </c>
      <c r="H1909" s="555">
        <f t="shared" si="146"/>
        <v>385636.83390298067</v>
      </c>
      <c r="I1909" s="552">
        <f t="shared" si="147"/>
        <v>0</v>
      </c>
      <c r="J1909" s="552"/>
      <c r="K1909" s="572">
        <v>385829.17937402963</v>
      </c>
      <c r="L1909" s="556"/>
      <c r="M1909" s="572">
        <v>385829.17937402963</v>
      </c>
      <c r="N1909" s="556"/>
      <c r="O1909" s="556"/>
    </row>
    <row r="1910" spans="3:15">
      <c r="C1910" s="955">
        <f>IF(D1895="","-",+C1909+1)</f>
        <v>2026</v>
      </c>
      <c r="D1910" s="506">
        <f t="shared" si="143"/>
        <v>2024849.7482352953</v>
      </c>
      <c r="E1910" s="549">
        <f t="shared" si="148"/>
        <v>77878.836470588241</v>
      </c>
      <c r="F1910" s="506">
        <f t="shared" si="144"/>
        <v>1946970.911764707</v>
      </c>
      <c r="G1910" s="554">
        <f t="shared" si="145"/>
        <v>374023.32456590922</v>
      </c>
      <c r="H1910" s="555">
        <f t="shared" si="146"/>
        <v>374023.32456590922</v>
      </c>
      <c r="I1910" s="552">
        <f t="shared" si="147"/>
        <v>0</v>
      </c>
      <c r="J1910" s="552"/>
      <c r="K1910" s="572"/>
      <c r="L1910" s="556"/>
      <c r="M1910" s="572"/>
      <c r="N1910" s="556"/>
      <c r="O1910" s="556"/>
    </row>
    <row r="1911" spans="3:15">
      <c r="C1911" s="548">
        <f>IF(D1895="","-",+C1910+1)</f>
        <v>2027</v>
      </c>
      <c r="D1911" s="506">
        <f t="shared" si="143"/>
        <v>1946970.911764707</v>
      </c>
      <c r="E1911" s="549">
        <f t="shared" si="148"/>
        <v>77878.836470588241</v>
      </c>
      <c r="F1911" s="506">
        <f t="shared" si="144"/>
        <v>1869092.0752941186</v>
      </c>
      <c r="G1911" s="554">
        <f t="shared" si="145"/>
        <v>362409.81522883783</v>
      </c>
      <c r="H1911" s="555">
        <f t="shared" si="146"/>
        <v>362409.81522883783</v>
      </c>
      <c r="I1911" s="552">
        <f t="shared" si="147"/>
        <v>0</v>
      </c>
      <c r="J1911" s="552"/>
      <c r="K1911" s="572"/>
      <c r="L1911" s="556"/>
      <c r="M1911" s="572"/>
      <c r="N1911" s="556"/>
      <c r="O1911" s="556"/>
    </row>
    <row r="1912" spans="3:15">
      <c r="C1912" s="548">
        <f>IF(D1895="","-",+C1911+1)</f>
        <v>2028</v>
      </c>
      <c r="D1912" s="506">
        <f t="shared" si="143"/>
        <v>1869092.0752941186</v>
      </c>
      <c r="E1912" s="549">
        <f t="shared" si="148"/>
        <v>77878.836470588241</v>
      </c>
      <c r="F1912" s="506">
        <f t="shared" si="144"/>
        <v>1791213.2388235303</v>
      </c>
      <c r="G1912" s="554">
        <f t="shared" si="145"/>
        <v>350796.30589176639</v>
      </c>
      <c r="H1912" s="555">
        <f t="shared" si="146"/>
        <v>350796.30589176639</v>
      </c>
      <c r="I1912" s="552">
        <f t="shared" si="147"/>
        <v>0</v>
      </c>
      <c r="J1912" s="552"/>
      <c r="K1912" s="572"/>
      <c r="L1912" s="556"/>
      <c r="M1912" s="572"/>
      <c r="N1912" s="556"/>
      <c r="O1912" s="556"/>
    </row>
    <row r="1913" spans="3:15">
      <c r="C1913" s="548">
        <f>IF(D1895="","-",+C1912+1)</f>
        <v>2029</v>
      </c>
      <c r="D1913" s="506">
        <f t="shared" si="143"/>
        <v>1791213.2388235303</v>
      </c>
      <c r="E1913" s="549">
        <f t="shared" si="148"/>
        <v>77878.836470588241</v>
      </c>
      <c r="F1913" s="506">
        <f t="shared" si="144"/>
        <v>1713334.4023529419</v>
      </c>
      <c r="G1913" s="554">
        <f t="shared" si="145"/>
        <v>339182.796554695</v>
      </c>
      <c r="H1913" s="555">
        <f t="shared" si="146"/>
        <v>339182.796554695</v>
      </c>
      <c r="I1913" s="552">
        <f t="shared" si="147"/>
        <v>0</v>
      </c>
      <c r="J1913" s="552"/>
      <c r="K1913" s="572"/>
      <c r="L1913" s="556"/>
      <c r="M1913" s="572"/>
      <c r="N1913" s="557"/>
      <c r="O1913" s="556"/>
    </row>
    <row r="1914" spans="3:15">
      <c r="C1914" s="548">
        <f>IF(D1895="","-",+C1913+1)</f>
        <v>2030</v>
      </c>
      <c r="D1914" s="506">
        <f t="shared" si="143"/>
        <v>1713334.4023529419</v>
      </c>
      <c r="E1914" s="549">
        <f t="shared" si="148"/>
        <v>77878.836470588241</v>
      </c>
      <c r="F1914" s="506">
        <f t="shared" si="144"/>
        <v>1635455.5658823536</v>
      </c>
      <c r="G1914" s="554">
        <f t="shared" si="145"/>
        <v>327569.28721762355</v>
      </c>
      <c r="H1914" s="555">
        <f t="shared" si="146"/>
        <v>327569.28721762355</v>
      </c>
      <c r="I1914" s="552">
        <f t="shared" si="147"/>
        <v>0</v>
      </c>
      <c r="J1914" s="552"/>
      <c r="K1914" s="572"/>
      <c r="L1914" s="556"/>
      <c r="M1914" s="572"/>
      <c r="N1914" s="556"/>
      <c r="O1914" s="556"/>
    </row>
    <row r="1915" spans="3:15">
      <c r="C1915" s="548">
        <f>IF(D1895="","-",+C1914+1)</f>
        <v>2031</v>
      </c>
      <c r="D1915" s="506">
        <f t="shared" si="143"/>
        <v>1635455.5658823536</v>
      </c>
      <c r="E1915" s="549">
        <f t="shared" si="148"/>
        <v>77878.836470588241</v>
      </c>
      <c r="F1915" s="506">
        <f t="shared" si="144"/>
        <v>1557576.7294117652</v>
      </c>
      <c r="G1915" s="554">
        <f t="shared" si="145"/>
        <v>315955.77788055217</v>
      </c>
      <c r="H1915" s="555">
        <f t="shared" si="146"/>
        <v>315955.77788055217</v>
      </c>
      <c r="I1915" s="552">
        <f t="shared" si="147"/>
        <v>0</v>
      </c>
      <c r="J1915" s="552"/>
      <c r="K1915" s="572"/>
      <c r="L1915" s="556"/>
      <c r="M1915" s="572"/>
      <c r="N1915" s="556"/>
      <c r="O1915" s="556"/>
    </row>
    <row r="1916" spans="3:15">
      <c r="C1916" s="548">
        <f>IF(D1895="","-",+C1915+1)</f>
        <v>2032</v>
      </c>
      <c r="D1916" s="506">
        <f t="shared" si="143"/>
        <v>1557576.7294117652</v>
      </c>
      <c r="E1916" s="549">
        <f t="shared" si="148"/>
        <v>77878.836470588241</v>
      </c>
      <c r="F1916" s="506">
        <f t="shared" si="144"/>
        <v>1479697.8929411769</v>
      </c>
      <c r="G1916" s="554">
        <f t="shared" si="145"/>
        <v>304342.26854348072</v>
      </c>
      <c r="H1916" s="555">
        <f t="shared" si="146"/>
        <v>304342.26854348072</v>
      </c>
      <c r="I1916" s="552">
        <f t="shared" si="147"/>
        <v>0</v>
      </c>
      <c r="J1916" s="552"/>
      <c r="K1916" s="572"/>
      <c r="L1916" s="556"/>
      <c r="M1916" s="572"/>
      <c r="N1916" s="556"/>
      <c r="O1916" s="556"/>
    </row>
    <row r="1917" spans="3:15">
      <c r="C1917" s="548">
        <f>IF(D1895="","-",+C1916+1)</f>
        <v>2033</v>
      </c>
      <c r="D1917" s="506">
        <f t="shared" si="143"/>
        <v>1479697.8929411769</v>
      </c>
      <c r="E1917" s="549">
        <f t="shared" si="148"/>
        <v>77878.836470588241</v>
      </c>
      <c r="F1917" s="506">
        <f t="shared" si="144"/>
        <v>1401819.0564705885</v>
      </c>
      <c r="G1917" s="554">
        <f t="shared" si="145"/>
        <v>292728.75920640933</v>
      </c>
      <c r="H1917" s="555">
        <f t="shared" si="146"/>
        <v>292728.75920640933</v>
      </c>
      <c r="I1917" s="552">
        <f t="shared" si="147"/>
        <v>0</v>
      </c>
      <c r="J1917" s="552"/>
      <c r="K1917" s="572"/>
      <c r="L1917" s="556"/>
      <c r="M1917" s="572"/>
      <c r="N1917" s="556"/>
      <c r="O1917" s="556"/>
    </row>
    <row r="1918" spans="3:15">
      <c r="C1918" s="548">
        <f>IF(D1895="","-",+C1917+1)</f>
        <v>2034</v>
      </c>
      <c r="D1918" s="506">
        <f t="shared" si="143"/>
        <v>1401819.0564705885</v>
      </c>
      <c r="E1918" s="549">
        <f t="shared" si="148"/>
        <v>77878.836470588241</v>
      </c>
      <c r="F1918" s="506">
        <f t="shared" si="144"/>
        <v>1323940.2200000002</v>
      </c>
      <c r="G1918" s="554">
        <f t="shared" si="145"/>
        <v>281115.24986933789</v>
      </c>
      <c r="H1918" s="555">
        <f t="shared" si="146"/>
        <v>281115.24986933789</v>
      </c>
      <c r="I1918" s="552">
        <f t="shared" si="147"/>
        <v>0</v>
      </c>
      <c r="J1918" s="552"/>
      <c r="K1918" s="572"/>
      <c r="L1918" s="556"/>
      <c r="M1918" s="572"/>
      <c r="N1918" s="556"/>
      <c r="O1918" s="556"/>
    </row>
    <row r="1919" spans="3:15">
      <c r="C1919" s="548">
        <f>IF(D1895="","-",+C1918+1)</f>
        <v>2035</v>
      </c>
      <c r="D1919" s="506">
        <f t="shared" si="143"/>
        <v>1323940.2200000002</v>
      </c>
      <c r="E1919" s="549">
        <f t="shared" si="148"/>
        <v>77878.836470588241</v>
      </c>
      <c r="F1919" s="506">
        <f t="shared" si="144"/>
        <v>1246061.3835294119</v>
      </c>
      <c r="G1919" s="554">
        <f t="shared" si="145"/>
        <v>269501.7405322665</v>
      </c>
      <c r="H1919" s="555">
        <f t="shared" si="146"/>
        <v>269501.7405322665</v>
      </c>
      <c r="I1919" s="552">
        <f t="shared" si="147"/>
        <v>0</v>
      </c>
      <c r="J1919" s="552"/>
      <c r="K1919" s="572"/>
      <c r="L1919" s="556"/>
      <c r="M1919" s="572"/>
      <c r="N1919" s="556"/>
      <c r="O1919" s="556"/>
    </row>
    <row r="1920" spans="3:15">
      <c r="C1920" s="548">
        <f>IF(D1895="","-",+C1919+1)</f>
        <v>2036</v>
      </c>
      <c r="D1920" s="506">
        <f t="shared" si="143"/>
        <v>1246061.3835294119</v>
      </c>
      <c r="E1920" s="549">
        <f t="shared" si="148"/>
        <v>77878.836470588241</v>
      </c>
      <c r="F1920" s="506">
        <f t="shared" si="144"/>
        <v>1168182.5470588235</v>
      </c>
      <c r="G1920" s="554">
        <f t="shared" si="145"/>
        <v>257888.231195195</v>
      </c>
      <c r="H1920" s="555">
        <f t="shared" si="146"/>
        <v>257888.231195195</v>
      </c>
      <c r="I1920" s="552">
        <f t="shared" si="147"/>
        <v>0</v>
      </c>
      <c r="J1920" s="552"/>
      <c r="K1920" s="572"/>
      <c r="L1920" s="556"/>
      <c r="M1920" s="572"/>
      <c r="N1920" s="556"/>
      <c r="O1920" s="556"/>
    </row>
    <row r="1921" spans="3:15">
      <c r="C1921" s="548">
        <f>IF(D1895="","-",+C1920+1)</f>
        <v>2037</v>
      </c>
      <c r="D1921" s="506">
        <f t="shared" si="143"/>
        <v>1168182.5470588235</v>
      </c>
      <c r="E1921" s="549">
        <f t="shared" si="148"/>
        <v>77878.836470588241</v>
      </c>
      <c r="F1921" s="506">
        <f t="shared" si="144"/>
        <v>1090303.7105882352</v>
      </c>
      <c r="G1921" s="554">
        <f t="shared" si="145"/>
        <v>246274.72185812361</v>
      </c>
      <c r="H1921" s="555">
        <f t="shared" si="146"/>
        <v>246274.72185812361</v>
      </c>
      <c r="I1921" s="552">
        <f t="shared" si="147"/>
        <v>0</v>
      </c>
      <c r="J1921" s="552"/>
      <c r="K1921" s="572"/>
      <c r="L1921" s="556"/>
      <c r="M1921" s="572"/>
      <c r="N1921" s="556"/>
      <c r="O1921" s="556"/>
    </row>
    <row r="1922" spans="3:15">
      <c r="C1922" s="548">
        <f>IF(D1895="","-",+C1921+1)</f>
        <v>2038</v>
      </c>
      <c r="D1922" s="506">
        <f t="shared" si="143"/>
        <v>1090303.7105882352</v>
      </c>
      <c r="E1922" s="549">
        <f t="shared" si="148"/>
        <v>77878.836470588241</v>
      </c>
      <c r="F1922" s="506">
        <f t="shared" si="144"/>
        <v>1012424.8741176469</v>
      </c>
      <c r="G1922" s="554">
        <f t="shared" si="145"/>
        <v>234661.21252105222</v>
      </c>
      <c r="H1922" s="555">
        <f t="shared" si="146"/>
        <v>234661.21252105222</v>
      </c>
      <c r="I1922" s="552">
        <f t="shared" si="147"/>
        <v>0</v>
      </c>
      <c r="J1922" s="552"/>
      <c r="K1922" s="572"/>
      <c r="L1922" s="556"/>
      <c r="M1922" s="572"/>
      <c r="N1922" s="556"/>
      <c r="O1922" s="556"/>
    </row>
    <row r="1923" spans="3:15">
      <c r="C1923" s="548">
        <f>IF(D1895="","-",+C1922+1)</f>
        <v>2039</v>
      </c>
      <c r="D1923" s="506">
        <f t="shared" si="143"/>
        <v>1012424.8741176469</v>
      </c>
      <c r="E1923" s="549">
        <f t="shared" si="148"/>
        <v>77878.836470588241</v>
      </c>
      <c r="F1923" s="506">
        <f t="shared" si="144"/>
        <v>934546.03764705872</v>
      </c>
      <c r="G1923" s="554">
        <f t="shared" si="145"/>
        <v>223047.70318398078</v>
      </c>
      <c r="H1923" s="555">
        <f t="shared" si="146"/>
        <v>223047.70318398078</v>
      </c>
      <c r="I1923" s="552">
        <f t="shared" si="147"/>
        <v>0</v>
      </c>
      <c r="J1923" s="552"/>
      <c r="K1923" s="572"/>
      <c r="L1923" s="556"/>
      <c r="M1923" s="572"/>
      <c r="N1923" s="556"/>
      <c r="O1923" s="556"/>
    </row>
    <row r="1924" spans="3:15">
      <c r="C1924" s="548">
        <f>IF(D1895="","-",+C1923+1)</f>
        <v>2040</v>
      </c>
      <c r="D1924" s="506">
        <f t="shared" si="143"/>
        <v>934546.03764705872</v>
      </c>
      <c r="E1924" s="549">
        <f t="shared" si="148"/>
        <v>77878.836470588241</v>
      </c>
      <c r="F1924" s="506">
        <f t="shared" si="144"/>
        <v>856667.20117647049</v>
      </c>
      <c r="G1924" s="554">
        <f t="shared" si="145"/>
        <v>211434.19384690939</v>
      </c>
      <c r="H1924" s="555">
        <f t="shared" si="146"/>
        <v>211434.19384690939</v>
      </c>
      <c r="I1924" s="552">
        <f t="shared" si="147"/>
        <v>0</v>
      </c>
      <c r="J1924" s="552"/>
      <c r="K1924" s="572"/>
      <c r="L1924" s="556"/>
      <c r="M1924" s="572"/>
      <c r="N1924" s="556"/>
      <c r="O1924" s="556"/>
    </row>
    <row r="1925" spans="3:15">
      <c r="C1925" s="548">
        <f>IF(D1895="","-",+C1924+1)</f>
        <v>2041</v>
      </c>
      <c r="D1925" s="506">
        <f t="shared" si="143"/>
        <v>856667.20117647049</v>
      </c>
      <c r="E1925" s="549">
        <f t="shared" si="148"/>
        <v>77878.836470588241</v>
      </c>
      <c r="F1925" s="506">
        <f t="shared" si="144"/>
        <v>778788.36470588227</v>
      </c>
      <c r="G1925" s="554">
        <f t="shared" si="145"/>
        <v>199820.684509838</v>
      </c>
      <c r="H1925" s="555">
        <f t="shared" si="146"/>
        <v>199820.684509838</v>
      </c>
      <c r="I1925" s="552">
        <f t="shared" si="147"/>
        <v>0</v>
      </c>
      <c r="J1925" s="552"/>
      <c r="K1925" s="572"/>
      <c r="L1925" s="556"/>
      <c r="M1925" s="572"/>
      <c r="N1925" s="556"/>
      <c r="O1925" s="556"/>
    </row>
    <row r="1926" spans="3:15">
      <c r="C1926" s="548">
        <f>IF(D1895="","-",+C1925+1)</f>
        <v>2042</v>
      </c>
      <c r="D1926" s="506">
        <f t="shared" si="143"/>
        <v>778788.36470588227</v>
      </c>
      <c r="E1926" s="549">
        <f t="shared" si="148"/>
        <v>77878.836470588241</v>
      </c>
      <c r="F1926" s="506">
        <f t="shared" si="144"/>
        <v>700909.52823529404</v>
      </c>
      <c r="G1926" s="554">
        <f t="shared" si="145"/>
        <v>188207.17517276661</v>
      </c>
      <c r="H1926" s="555">
        <f t="shared" si="146"/>
        <v>188207.17517276661</v>
      </c>
      <c r="I1926" s="552">
        <f t="shared" si="147"/>
        <v>0</v>
      </c>
      <c r="J1926" s="552"/>
      <c r="K1926" s="572"/>
      <c r="L1926" s="556"/>
      <c r="M1926" s="572"/>
      <c r="N1926" s="556"/>
      <c r="O1926" s="556"/>
    </row>
    <row r="1927" spans="3:15">
      <c r="C1927" s="548">
        <f>IF(D1895="","-",+C1926+1)</f>
        <v>2043</v>
      </c>
      <c r="D1927" s="506">
        <f t="shared" si="143"/>
        <v>700909.52823529404</v>
      </c>
      <c r="E1927" s="549">
        <f t="shared" si="148"/>
        <v>77878.836470588241</v>
      </c>
      <c r="F1927" s="506">
        <f t="shared" si="144"/>
        <v>623030.69176470581</v>
      </c>
      <c r="G1927" s="554">
        <f t="shared" si="145"/>
        <v>176593.66583569517</v>
      </c>
      <c r="H1927" s="555">
        <f t="shared" si="146"/>
        <v>176593.66583569517</v>
      </c>
      <c r="I1927" s="552">
        <f t="shared" si="147"/>
        <v>0</v>
      </c>
      <c r="J1927" s="552"/>
      <c r="K1927" s="572"/>
      <c r="L1927" s="556"/>
      <c r="M1927" s="572"/>
      <c r="N1927" s="556"/>
      <c r="O1927" s="556"/>
    </row>
    <row r="1928" spans="3:15">
      <c r="C1928" s="548">
        <f>IF(D1895="","-",+C1927+1)</f>
        <v>2044</v>
      </c>
      <c r="D1928" s="506">
        <f t="shared" si="143"/>
        <v>623030.69176470581</v>
      </c>
      <c r="E1928" s="549">
        <f t="shared" si="148"/>
        <v>77878.836470588241</v>
      </c>
      <c r="F1928" s="506">
        <f t="shared" si="144"/>
        <v>545151.85529411759</v>
      </c>
      <c r="G1928" s="554">
        <f t="shared" si="145"/>
        <v>164980.15649862378</v>
      </c>
      <c r="H1928" s="555">
        <f t="shared" si="146"/>
        <v>164980.15649862378</v>
      </c>
      <c r="I1928" s="552">
        <f t="shared" si="147"/>
        <v>0</v>
      </c>
      <c r="J1928" s="552"/>
      <c r="K1928" s="572"/>
      <c r="L1928" s="556"/>
      <c r="M1928" s="572"/>
      <c r="N1928" s="556"/>
      <c r="O1928" s="556"/>
    </row>
    <row r="1929" spans="3:15">
      <c r="C1929" s="548">
        <f>IF(D1895="","-",+C1928+1)</f>
        <v>2045</v>
      </c>
      <c r="D1929" s="506">
        <f t="shared" si="143"/>
        <v>545151.85529411759</v>
      </c>
      <c r="E1929" s="549">
        <f t="shared" si="148"/>
        <v>77878.836470588241</v>
      </c>
      <c r="F1929" s="506">
        <f t="shared" si="144"/>
        <v>467273.01882352936</v>
      </c>
      <c r="G1929" s="550">
        <f t="shared" si="145"/>
        <v>153366.64716155236</v>
      </c>
      <c r="H1929" s="555">
        <f t="shared" si="146"/>
        <v>153366.64716155236</v>
      </c>
      <c r="I1929" s="552">
        <f t="shared" si="147"/>
        <v>0</v>
      </c>
      <c r="J1929" s="552"/>
      <c r="K1929" s="572"/>
      <c r="L1929" s="556"/>
      <c r="M1929" s="572"/>
      <c r="N1929" s="556"/>
      <c r="O1929" s="556"/>
    </row>
    <row r="1930" spans="3:15">
      <c r="C1930" s="548">
        <f>IF(D1895="","-",+C1929+1)</f>
        <v>2046</v>
      </c>
      <c r="D1930" s="506">
        <f t="shared" si="143"/>
        <v>467273.01882352936</v>
      </c>
      <c r="E1930" s="549">
        <f t="shared" si="148"/>
        <v>77878.836470588241</v>
      </c>
      <c r="F1930" s="506">
        <f t="shared" si="144"/>
        <v>389394.18235294113</v>
      </c>
      <c r="G1930" s="554">
        <f t="shared" si="145"/>
        <v>141753.13782448097</v>
      </c>
      <c r="H1930" s="555">
        <f t="shared" si="146"/>
        <v>141753.13782448097</v>
      </c>
      <c r="I1930" s="552">
        <f t="shared" si="147"/>
        <v>0</v>
      </c>
      <c r="J1930" s="552"/>
      <c r="K1930" s="572"/>
      <c r="L1930" s="556"/>
      <c r="M1930" s="572"/>
      <c r="N1930" s="556"/>
      <c r="O1930" s="556"/>
    </row>
    <row r="1931" spans="3:15">
      <c r="C1931" s="548">
        <f>IF(D1895="","-",+C1930+1)</f>
        <v>2047</v>
      </c>
      <c r="D1931" s="506">
        <f t="shared" si="143"/>
        <v>389394.18235294113</v>
      </c>
      <c r="E1931" s="549">
        <f t="shared" si="148"/>
        <v>77878.836470588241</v>
      </c>
      <c r="F1931" s="506">
        <f t="shared" si="144"/>
        <v>311515.34588235291</v>
      </c>
      <c r="G1931" s="554">
        <f t="shared" si="145"/>
        <v>130139.62848740956</v>
      </c>
      <c r="H1931" s="555">
        <f t="shared" si="146"/>
        <v>130139.62848740956</v>
      </c>
      <c r="I1931" s="552">
        <f t="shared" si="147"/>
        <v>0</v>
      </c>
      <c r="J1931" s="552"/>
      <c r="K1931" s="572"/>
      <c r="L1931" s="556"/>
      <c r="M1931" s="572"/>
      <c r="N1931" s="556"/>
      <c r="O1931" s="556"/>
    </row>
    <row r="1932" spans="3:15">
      <c r="C1932" s="548">
        <f>IF(D1895="","-",+C1931+1)</f>
        <v>2048</v>
      </c>
      <c r="D1932" s="506">
        <f t="shared" si="143"/>
        <v>311515.34588235291</v>
      </c>
      <c r="E1932" s="549">
        <f t="shared" si="148"/>
        <v>77878.836470588241</v>
      </c>
      <c r="F1932" s="506">
        <f t="shared" si="144"/>
        <v>233636.50941176468</v>
      </c>
      <c r="G1932" s="554">
        <f t="shared" si="145"/>
        <v>118526.11915033816</v>
      </c>
      <c r="H1932" s="555">
        <f t="shared" si="146"/>
        <v>118526.11915033816</v>
      </c>
      <c r="I1932" s="552">
        <f t="shared" si="147"/>
        <v>0</v>
      </c>
      <c r="J1932" s="552"/>
      <c r="K1932" s="572"/>
      <c r="L1932" s="556"/>
      <c r="M1932" s="572"/>
      <c r="N1932" s="556"/>
      <c r="O1932" s="556"/>
    </row>
    <row r="1933" spans="3:15">
      <c r="C1933" s="548">
        <f>IF(D1895="","-",+C1932+1)</f>
        <v>2049</v>
      </c>
      <c r="D1933" s="506">
        <f t="shared" si="143"/>
        <v>233636.50941176468</v>
      </c>
      <c r="E1933" s="549">
        <f t="shared" si="148"/>
        <v>77878.836470588241</v>
      </c>
      <c r="F1933" s="506">
        <f t="shared" si="144"/>
        <v>155757.67294117645</v>
      </c>
      <c r="G1933" s="554">
        <f t="shared" si="145"/>
        <v>106912.60981326675</v>
      </c>
      <c r="H1933" s="555">
        <f t="shared" si="146"/>
        <v>106912.60981326675</v>
      </c>
      <c r="I1933" s="552">
        <f t="shared" si="147"/>
        <v>0</v>
      </c>
      <c r="J1933" s="552"/>
      <c r="K1933" s="572"/>
      <c r="L1933" s="556"/>
      <c r="M1933" s="572"/>
      <c r="N1933" s="556"/>
      <c r="O1933" s="556"/>
    </row>
    <row r="1934" spans="3:15">
      <c r="C1934" s="548">
        <f>IF(D1895="","-",+C1933+1)</f>
        <v>2050</v>
      </c>
      <c r="D1934" s="506">
        <f t="shared" si="143"/>
        <v>155757.67294117645</v>
      </c>
      <c r="E1934" s="549">
        <f t="shared" si="148"/>
        <v>77878.836470588241</v>
      </c>
      <c r="F1934" s="506">
        <f t="shared" si="144"/>
        <v>77878.836470588212</v>
      </c>
      <c r="G1934" s="554">
        <f t="shared" si="145"/>
        <v>95299.100476195352</v>
      </c>
      <c r="H1934" s="555">
        <f t="shared" si="146"/>
        <v>95299.100476195352</v>
      </c>
      <c r="I1934" s="552">
        <f t="shared" si="147"/>
        <v>0</v>
      </c>
      <c r="J1934" s="552"/>
      <c r="K1934" s="572"/>
      <c r="L1934" s="556"/>
      <c r="M1934" s="572"/>
      <c r="N1934" s="556"/>
      <c r="O1934" s="556"/>
    </row>
    <row r="1935" spans="3:15">
      <c r="C1935" s="548">
        <f>IF(D1895="","-",+C1934+1)</f>
        <v>2051</v>
      </c>
      <c r="D1935" s="506">
        <f t="shared" si="143"/>
        <v>77878.836470588212</v>
      </c>
      <c r="E1935" s="549">
        <f t="shared" si="148"/>
        <v>77878.836470588212</v>
      </c>
      <c r="F1935" s="506">
        <f t="shared" si="144"/>
        <v>0</v>
      </c>
      <c r="G1935" s="554">
        <f t="shared" si="145"/>
        <v>83685.591139123921</v>
      </c>
      <c r="H1935" s="555">
        <f t="shared" si="146"/>
        <v>83685.591139123921</v>
      </c>
      <c r="I1935" s="552">
        <f t="shared" si="147"/>
        <v>0</v>
      </c>
      <c r="J1935" s="552"/>
      <c r="K1935" s="572"/>
      <c r="L1935" s="556"/>
      <c r="M1935" s="572"/>
      <c r="N1935" s="556"/>
      <c r="O1935" s="556"/>
    </row>
    <row r="1936" spans="3:15">
      <c r="C1936" s="548">
        <f>IF(D1895="","-",+C1935+1)</f>
        <v>2052</v>
      </c>
      <c r="D1936" s="506">
        <f t="shared" si="143"/>
        <v>0</v>
      </c>
      <c r="E1936" s="549">
        <f t="shared" si="148"/>
        <v>0</v>
      </c>
      <c r="F1936" s="506">
        <f t="shared" si="144"/>
        <v>0</v>
      </c>
      <c r="G1936" s="554">
        <f t="shared" si="145"/>
        <v>0</v>
      </c>
      <c r="H1936" s="555">
        <f t="shared" si="146"/>
        <v>0</v>
      </c>
      <c r="I1936" s="552">
        <f t="shared" si="147"/>
        <v>0</v>
      </c>
      <c r="J1936" s="552"/>
      <c r="K1936" s="572"/>
      <c r="L1936" s="556"/>
      <c r="M1936" s="572"/>
      <c r="N1936" s="556"/>
      <c r="O1936" s="556"/>
    </row>
    <row r="1937" spans="3:15">
      <c r="C1937" s="548">
        <f>IF(D1895="","-",+C1936+1)</f>
        <v>2053</v>
      </c>
      <c r="D1937" s="506">
        <f t="shared" si="143"/>
        <v>0</v>
      </c>
      <c r="E1937" s="549">
        <f t="shared" si="148"/>
        <v>0</v>
      </c>
      <c r="F1937" s="506">
        <f t="shared" si="144"/>
        <v>0</v>
      </c>
      <c r="G1937" s="554">
        <f t="shared" si="145"/>
        <v>0</v>
      </c>
      <c r="H1937" s="555">
        <f t="shared" si="146"/>
        <v>0</v>
      </c>
      <c r="I1937" s="552">
        <f t="shared" si="147"/>
        <v>0</v>
      </c>
      <c r="J1937" s="552"/>
      <c r="K1937" s="572"/>
      <c r="L1937" s="556"/>
      <c r="M1937" s="572"/>
      <c r="N1937" s="556"/>
      <c r="O1937" s="556"/>
    </row>
    <row r="1938" spans="3:15">
      <c r="C1938" s="548">
        <f>IF(D1895="","-",+C1937+1)</f>
        <v>2054</v>
      </c>
      <c r="D1938" s="506">
        <f t="shared" si="143"/>
        <v>0</v>
      </c>
      <c r="E1938" s="549">
        <f t="shared" si="148"/>
        <v>0</v>
      </c>
      <c r="F1938" s="506">
        <f t="shared" si="144"/>
        <v>0</v>
      </c>
      <c r="G1938" s="554">
        <f t="shared" si="145"/>
        <v>0</v>
      </c>
      <c r="H1938" s="555">
        <f t="shared" si="146"/>
        <v>0</v>
      </c>
      <c r="I1938" s="552">
        <f t="shared" si="147"/>
        <v>0</v>
      </c>
      <c r="J1938" s="552"/>
      <c r="K1938" s="572"/>
      <c r="L1938" s="556"/>
      <c r="M1938" s="572"/>
      <c r="N1938" s="556"/>
      <c r="O1938" s="556"/>
    </row>
    <row r="1939" spans="3:15">
      <c r="C1939" s="548">
        <f>IF(D1895="","-",+C1938+1)</f>
        <v>2055</v>
      </c>
      <c r="D1939" s="506">
        <f t="shared" si="143"/>
        <v>0</v>
      </c>
      <c r="E1939" s="549">
        <f t="shared" si="148"/>
        <v>0</v>
      </c>
      <c r="F1939" s="506">
        <f t="shared" si="144"/>
        <v>0</v>
      </c>
      <c r="G1939" s="554">
        <f t="shared" si="145"/>
        <v>0</v>
      </c>
      <c r="H1939" s="555">
        <f t="shared" si="146"/>
        <v>0</v>
      </c>
      <c r="I1939" s="552">
        <f t="shared" si="147"/>
        <v>0</v>
      </c>
      <c r="J1939" s="552"/>
      <c r="K1939" s="572"/>
      <c r="L1939" s="556"/>
      <c r="M1939" s="572"/>
      <c r="N1939" s="556"/>
      <c r="O1939" s="556"/>
    </row>
    <row r="1940" spans="3:15">
      <c r="C1940" s="548">
        <f>IF(D1895="","-",+C1939+1)</f>
        <v>2056</v>
      </c>
      <c r="D1940" s="506">
        <f t="shared" si="143"/>
        <v>0</v>
      </c>
      <c r="E1940" s="549">
        <f t="shared" si="148"/>
        <v>0</v>
      </c>
      <c r="F1940" s="506">
        <f t="shared" si="144"/>
        <v>0</v>
      </c>
      <c r="G1940" s="554">
        <f t="shared" si="145"/>
        <v>0</v>
      </c>
      <c r="H1940" s="555">
        <f t="shared" si="146"/>
        <v>0</v>
      </c>
      <c r="I1940" s="552">
        <f t="shared" si="147"/>
        <v>0</v>
      </c>
      <c r="J1940" s="552"/>
      <c r="K1940" s="572"/>
      <c r="L1940" s="556"/>
      <c r="M1940" s="572"/>
      <c r="N1940" s="556"/>
      <c r="O1940" s="556"/>
    </row>
    <row r="1941" spans="3:15">
      <c r="C1941" s="548">
        <f>IF(D1895="","-",+C1940+1)</f>
        <v>2057</v>
      </c>
      <c r="D1941" s="506">
        <f t="shared" si="143"/>
        <v>0</v>
      </c>
      <c r="E1941" s="549">
        <f t="shared" si="148"/>
        <v>0</v>
      </c>
      <c r="F1941" s="506">
        <f t="shared" si="144"/>
        <v>0</v>
      </c>
      <c r="G1941" s="554">
        <f t="shared" si="145"/>
        <v>0</v>
      </c>
      <c r="H1941" s="555">
        <f t="shared" si="146"/>
        <v>0</v>
      </c>
      <c r="I1941" s="552">
        <f t="shared" si="147"/>
        <v>0</v>
      </c>
      <c r="J1941" s="552"/>
      <c r="K1941" s="572"/>
      <c r="L1941" s="556"/>
      <c r="M1941" s="572"/>
      <c r="N1941" s="556"/>
      <c r="O1941" s="556"/>
    </row>
    <row r="1942" spans="3:15">
      <c r="C1942" s="548">
        <f>IF(D1895="","-",+C1941+1)</f>
        <v>2058</v>
      </c>
      <c r="D1942" s="506">
        <f t="shared" si="143"/>
        <v>0</v>
      </c>
      <c r="E1942" s="549">
        <f t="shared" si="148"/>
        <v>0</v>
      </c>
      <c r="F1942" s="506">
        <f t="shared" si="144"/>
        <v>0</v>
      </c>
      <c r="G1942" s="554">
        <f t="shared" si="145"/>
        <v>0</v>
      </c>
      <c r="H1942" s="555">
        <f t="shared" si="146"/>
        <v>0</v>
      </c>
      <c r="I1942" s="552">
        <f t="shared" si="147"/>
        <v>0</v>
      </c>
      <c r="J1942" s="552"/>
      <c r="K1942" s="572"/>
      <c r="L1942" s="556"/>
      <c r="M1942" s="572"/>
      <c r="N1942" s="556"/>
      <c r="O1942" s="556"/>
    </row>
    <row r="1943" spans="3:15">
      <c r="C1943" s="548">
        <f>IF(D1895="","-",+C1942+1)</f>
        <v>2059</v>
      </c>
      <c r="D1943" s="506">
        <f t="shared" si="143"/>
        <v>0</v>
      </c>
      <c r="E1943" s="549">
        <f t="shared" si="148"/>
        <v>0</v>
      </c>
      <c r="F1943" s="506">
        <f t="shared" si="144"/>
        <v>0</v>
      </c>
      <c r="G1943" s="554">
        <f t="shared" si="145"/>
        <v>0</v>
      </c>
      <c r="H1943" s="555">
        <f t="shared" si="146"/>
        <v>0</v>
      </c>
      <c r="I1943" s="552">
        <f t="shared" si="147"/>
        <v>0</v>
      </c>
      <c r="J1943" s="552"/>
      <c r="K1943" s="572"/>
      <c r="L1943" s="556"/>
      <c r="M1943" s="572"/>
      <c r="N1943" s="556"/>
      <c r="O1943" s="556"/>
    </row>
    <row r="1944" spans="3:15">
      <c r="C1944" s="548">
        <f>IF(D1895="","-",+C1943+1)</f>
        <v>2060</v>
      </c>
      <c r="D1944" s="506">
        <f t="shared" si="143"/>
        <v>0</v>
      </c>
      <c r="E1944" s="549">
        <f t="shared" si="148"/>
        <v>0</v>
      </c>
      <c r="F1944" s="506">
        <f t="shared" si="144"/>
        <v>0</v>
      </c>
      <c r="G1944" s="554">
        <f t="shared" si="145"/>
        <v>0</v>
      </c>
      <c r="H1944" s="555">
        <f t="shared" si="146"/>
        <v>0</v>
      </c>
      <c r="I1944" s="552">
        <f t="shared" si="147"/>
        <v>0</v>
      </c>
      <c r="J1944" s="552"/>
      <c r="K1944" s="572"/>
      <c r="L1944" s="556"/>
      <c r="M1944" s="572"/>
      <c r="N1944" s="556"/>
      <c r="O1944" s="556"/>
    </row>
    <row r="1945" spans="3:15">
      <c r="C1945" s="548">
        <f>IF(D1895="","-",+C1944+1)</f>
        <v>2061</v>
      </c>
      <c r="D1945" s="506">
        <f t="shared" si="143"/>
        <v>0</v>
      </c>
      <c r="E1945" s="549">
        <f t="shared" si="148"/>
        <v>0</v>
      </c>
      <c r="F1945" s="506">
        <f t="shared" si="144"/>
        <v>0</v>
      </c>
      <c r="G1945" s="554">
        <f t="shared" si="145"/>
        <v>0</v>
      </c>
      <c r="H1945" s="555">
        <f t="shared" si="146"/>
        <v>0</v>
      </c>
      <c r="I1945" s="552">
        <f t="shared" si="147"/>
        <v>0</v>
      </c>
      <c r="J1945" s="552"/>
      <c r="K1945" s="572"/>
      <c r="L1945" s="556"/>
      <c r="M1945" s="572"/>
      <c r="N1945" s="556"/>
      <c r="O1945" s="556"/>
    </row>
    <row r="1946" spans="3:15">
      <c r="C1946" s="548">
        <f>IF(D1895="","-",+C1945+1)</f>
        <v>2062</v>
      </c>
      <c r="D1946" s="506">
        <f t="shared" si="143"/>
        <v>0</v>
      </c>
      <c r="E1946" s="549">
        <f t="shared" si="148"/>
        <v>0</v>
      </c>
      <c r="F1946" s="506">
        <f t="shared" si="144"/>
        <v>0</v>
      </c>
      <c r="G1946" s="554">
        <f t="shared" si="145"/>
        <v>0</v>
      </c>
      <c r="H1946" s="555">
        <f t="shared" si="146"/>
        <v>0</v>
      </c>
      <c r="I1946" s="552">
        <f t="shared" si="147"/>
        <v>0</v>
      </c>
      <c r="J1946" s="552"/>
      <c r="K1946" s="572"/>
      <c r="L1946" s="556"/>
      <c r="M1946" s="572"/>
      <c r="N1946" s="556"/>
      <c r="O1946" s="556"/>
    </row>
    <row r="1947" spans="3:15">
      <c r="C1947" s="548">
        <f>IF(D1895="","-",+C1946+1)</f>
        <v>2063</v>
      </c>
      <c r="D1947" s="506">
        <f t="shared" si="143"/>
        <v>0</v>
      </c>
      <c r="E1947" s="549">
        <f t="shared" si="148"/>
        <v>0</v>
      </c>
      <c r="F1947" s="506">
        <f t="shared" si="144"/>
        <v>0</v>
      </c>
      <c r="G1947" s="554">
        <f t="shared" si="145"/>
        <v>0</v>
      </c>
      <c r="H1947" s="555">
        <f t="shared" si="146"/>
        <v>0</v>
      </c>
      <c r="I1947" s="552">
        <f t="shared" si="147"/>
        <v>0</v>
      </c>
      <c r="J1947" s="552"/>
      <c r="K1947" s="572"/>
      <c r="L1947" s="556"/>
      <c r="M1947" s="572"/>
      <c r="N1947" s="556"/>
      <c r="O1947" s="556"/>
    </row>
    <row r="1948" spans="3:15">
      <c r="C1948" s="548">
        <f>IF(D1895="","-",+C1947+1)</f>
        <v>2064</v>
      </c>
      <c r="D1948" s="506">
        <f t="shared" si="143"/>
        <v>0</v>
      </c>
      <c r="E1948" s="549">
        <f t="shared" si="148"/>
        <v>0</v>
      </c>
      <c r="F1948" s="506">
        <f t="shared" si="144"/>
        <v>0</v>
      </c>
      <c r="G1948" s="554">
        <f t="shared" si="145"/>
        <v>0</v>
      </c>
      <c r="H1948" s="555">
        <f t="shared" si="146"/>
        <v>0</v>
      </c>
      <c r="I1948" s="552">
        <f t="shared" si="147"/>
        <v>0</v>
      </c>
      <c r="J1948" s="552"/>
      <c r="K1948" s="572"/>
      <c r="L1948" s="556"/>
      <c r="M1948" s="572"/>
      <c r="N1948" s="556"/>
      <c r="O1948" s="556"/>
    </row>
    <row r="1949" spans="3:15">
      <c r="C1949" s="548">
        <f>IF(D1895="","-",+C1948+1)</f>
        <v>2065</v>
      </c>
      <c r="D1949" s="506">
        <f t="shared" si="143"/>
        <v>0</v>
      </c>
      <c r="E1949" s="549">
        <f t="shared" si="148"/>
        <v>0</v>
      </c>
      <c r="F1949" s="506">
        <f t="shared" si="144"/>
        <v>0</v>
      </c>
      <c r="G1949" s="554">
        <f t="shared" si="145"/>
        <v>0</v>
      </c>
      <c r="H1949" s="555">
        <f t="shared" si="146"/>
        <v>0</v>
      </c>
      <c r="I1949" s="552">
        <f t="shared" si="147"/>
        <v>0</v>
      </c>
      <c r="J1949" s="552"/>
      <c r="K1949" s="572"/>
      <c r="L1949" s="556"/>
      <c r="M1949" s="572"/>
      <c r="N1949" s="556"/>
      <c r="O1949" s="556"/>
    </row>
    <row r="1950" spans="3:15">
      <c r="C1950" s="548">
        <f>IF(D1895="","-",+C1949+1)</f>
        <v>2066</v>
      </c>
      <c r="D1950" s="506">
        <f t="shared" si="143"/>
        <v>0</v>
      </c>
      <c r="E1950" s="549">
        <f t="shared" si="148"/>
        <v>0</v>
      </c>
      <c r="F1950" s="506">
        <f t="shared" si="144"/>
        <v>0</v>
      </c>
      <c r="G1950" s="554">
        <f t="shared" si="145"/>
        <v>0</v>
      </c>
      <c r="H1950" s="555">
        <f t="shared" si="146"/>
        <v>0</v>
      </c>
      <c r="I1950" s="552">
        <f t="shared" si="147"/>
        <v>0</v>
      </c>
      <c r="J1950" s="552"/>
      <c r="K1950" s="572"/>
      <c r="L1950" s="556"/>
      <c r="M1950" s="572"/>
      <c r="N1950" s="556"/>
      <c r="O1950" s="556"/>
    </row>
    <row r="1951" spans="3:15">
      <c r="C1951" s="548">
        <f>IF(D1895="","-",+C1950+1)</f>
        <v>2067</v>
      </c>
      <c r="D1951" s="506">
        <f t="shared" si="143"/>
        <v>0</v>
      </c>
      <c r="E1951" s="549">
        <f t="shared" si="148"/>
        <v>0</v>
      </c>
      <c r="F1951" s="506">
        <f t="shared" si="144"/>
        <v>0</v>
      </c>
      <c r="G1951" s="554">
        <f t="shared" si="145"/>
        <v>0</v>
      </c>
      <c r="H1951" s="555">
        <f t="shared" si="146"/>
        <v>0</v>
      </c>
      <c r="I1951" s="552">
        <f t="shared" si="147"/>
        <v>0</v>
      </c>
      <c r="J1951" s="552"/>
      <c r="K1951" s="572"/>
      <c r="L1951" s="556"/>
      <c r="M1951" s="572"/>
      <c r="N1951" s="556"/>
      <c r="O1951" s="556"/>
    </row>
    <row r="1952" spans="3:15">
      <c r="C1952" s="548">
        <f>IF(D1895="","-",+C1951+1)</f>
        <v>2068</v>
      </c>
      <c r="D1952" s="506">
        <f t="shared" si="143"/>
        <v>0</v>
      </c>
      <c r="E1952" s="549">
        <f t="shared" si="148"/>
        <v>0</v>
      </c>
      <c r="F1952" s="506">
        <f t="shared" si="144"/>
        <v>0</v>
      </c>
      <c r="G1952" s="554">
        <f t="shared" si="145"/>
        <v>0</v>
      </c>
      <c r="H1952" s="555">
        <f t="shared" si="146"/>
        <v>0</v>
      </c>
      <c r="I1952" s="552">
        <f t="shared" si="147"/>
        <v>0</v>
      </c>
      <c r="J1952" s="552"/>
      <c r="K1952" s="572"/>
      <c r="L1952" s="556"/>
      <c r="M1952" s="572"/>
      <c r="N1952" s="556"/>
      <c r="O1952" s="556"/>
    </row>
    <row r="1953" spans="3:15">
      <c r="C1953" s="548">
        <f>IF(D1895="","-",+C1952+1)</f>
        <v>2069</v>
      </c>
      <c r="D1953" s="506">
        <f t="shared" si="143"/>
        <v>0</v>
      </c>
      <c r="E1953" s="549">
        <f t="shared" si="148"/>
        <v>0</v>
      </c>
      <c r="F1953" s="506">
        <f t="shared" si="144"/>
        <v>0</v>
      </c>
      <c r="G1953" s="554">
        <f t="shared" si="145"/>
        <v>0</v>
      </c>
      <c r="H1953" s="555">
        <f t="shared" si="146"/>
        <v>0</v>
      </c>
      <c r="I1953" s="552">
        <f t="shared" si="147"/>
        <v>0</v>
      </c>
      <c r="J1953" s="552"/>
      <c r="K1953" s="572"/>
      <c r="L1953" s="556"/>
      <c r="M1953" s="572"/>
      <c r="N1953" s="556"/>
      <c r="O1953" s="556"/>
    </row>
    <row r="1954" spans="3:15">
      <c r="C1954" s="548">
        <f>IF(D1895="","-",+C1953+1)</f>
        <v>2070</v>
      </c>
      <c r="D1954" s="506">
        <f t="shared" si="143"/>
        <v>0</v>
      </c>
      <c r="E1954" s="549">
        <f t="shared" si="148"/>
        <v>0</v>
      </c>
      <c r="F1954" s="506">
        <f t="shared" si="144"/>
        <v>0</v>
      </c>
      <c r="G1954" s="554">
        <f t="shared" si="145"/>
        <v>0</v>
      </c>
      <c r="H1954" s="555">
        <f t="shared" si="146"/>
        <v>0</v>
      </c>
      <c r="I1954" s="552">
        <f t="shared" si="147"/>
        <v>0</v>
      </c>
      <c r="J1954" s="552"/>
      <c r="K1954" s="572"/>
      <c r="L1954" s="556"/>
      <c r="M1954" s="572"/>
      <c r="N1954" s="556"/>
      <c r="O1954" s="556"/>
    </row>
    <row r="1955" spans="3:15">
      <c r="C1955" s="548">
        <f>IF(D1895="","-",+C1954+1)</f>
        <v>2071</v>
      </c>
      <c r="D1955" s="506">
        <f t="shared" si="143"/>
        <v>0</v>
      </c>
      <c r="E1955" s="549">
        <f t="shared" si="148"/>
        <v>0</v>
      </c>
      <c r="F1955" s="506">
        <f t="shared" si="144"/>
        <v>0</v>
      </c>
      <c r="G1955" s="554">
        <f t="shared" si="145"/>
        <v>0</v>
      </c>
      <c r="H1955" s="555">
        <f t="shared" si="146"/>
        <v>0</v>
      </c>
      <c r="I1955" s="552">
        <f t="shared" si="147"/>
        <v>0</v>
      </c>
      <c r="J1955" s="552"/>
      <c r="K1955" s="572"/>
      <c r="L1955" s="556"/>
      <c r="M1955" s="572"/>
      <c r="N1955" s="556"/>
      <c r="O1955" s="556"/>
    </row>
    <row r="1956" spans="3:15">
      <c r="C1956" s="548">
        <f>IF(D1895="","-",+C1955+1)</f>
        <v>2072</v>
      </c>
      <c r="D1956" s="506">
        <f t="shared" si="143"/>
        <v>0</v>
      </c>
      <c r="E1956" s="549">
        <f t="shared" si="148"/>
        <v>0</v>
      </c>
      <c r="F1956" s="506">
        <f t="shared" si="144"/>
        <v>0</v>
      </c>
      <c r="G1956" s="554">
        <f t="shared" si="145"/>
        <v>0</v>
      </c>
      <c r="H1956" s="555">
        <f t="shared" si="146"/>
        <v>0</v>
      </c>
      <c r="I1956" s="552">
        <f t="shared" si="147"/>
        <v>0</v>
      </c>
      <c r="J1956" s="552"/>
      <c r="K1956" s="572"/>
      <c r="L1956" s="556"/>
      <c r="M1956" s="572"/>
      <c r="N1956" s="556"/>
      <c r="O1956" s="556"/>
    </row>
    <row r="1957" spans="3:15">
      <c r="C1957" s="548">
        <f>IF(D1895="","-",+C1956+1)</f>
        <v>2073</v>
      </c>
      <c r="D1957" s="506">
        <f t="shared" si="143"/>
        <v>0</v>
      </c>
      <c r="E1957" s="549">
        <f t="shared" si="148"/>
        <v>0</v>
      </c>
      <c r="F1957" s="506">
        <f t="shared" si="144"/>
        <v>0</v>
      </c>
      <c r="G1957" s="554">
        <f t="shared" si="145"/>
        <v>0</v>
      </c>
      <c r="H1957" s="555">
        <f t="shared" si="146"/>
        <v>0</v>
      </c>
      <c r="I1957" s="552">
        <f t="shared" si="147"/>
        <v>0</v>
      </c>
      <c r="J1957" s="552"/>
      <c r="K1957" s="572"/>
      <c r="L1957" s="556"/>
      <c r="M1957" s="572"/>
      <c r="N1957" s="556"/>
      <c r="O1957" s="556"/>
    </row>
    <row r="1958" spans="3:15">
      <c r="C1958" s="548">
        <f>IF(D1895="","-",+C1957+1)</f>
        <v>2074</v>
      </c>
      <c r="D1958" s="506">
        <f t="shared" si="143"/>
        <v>0</v>
      </c>
      <c r="E1958" s="549">
        <f t="shared" si="148"/>
        <v>0</v>
      </c>
      <c r="F1958" s="506">
        <f t="shared" si="144"/>
        <v>0</v>
      </c>
      <c r="G1958" s="554">
        <f t="shared" si="145"/>
        <v>0</v>
      </c>
      <c r="H1958" s="555">
        <f t="shared" si="146"/>
        <v>0</v>
      </c>
      <c r="I1958" s="552">
        <f t="shared" si="147"/>
        <v>0</v>
      </c>
      <c r="J1958" s="552"/>
      <c r="K1958" s="572"/>
      <c r="L1958" s="556"/>
      <c r="M1958" s="572"/>
      <c r="N1958" s="556"/>
      <c r="O1958" s="556"/>
    </row>
    <row r="1959" spans="3:15">
      <c r="C1959" s="548">
        <f>IF(D1895="","-",+C1958+1)</f>
        <v>2075</v>
      </c>
      <c r="D1959" s="506">
        <f t="shared" si="143"/>
        <v>0</v>
      </c>
      <c r="E1959" s="549">
        <f t="shared" si="148"/>
        <v>0</v>
      </c>
      <c r="F1959" s="506">
        <f t="shared" si="144"/>
        <v>0</v>
      </c>
      <c r="G1959" s="554">
        <f t="shared" si="145"/>
        <v>0</v>
      </c>
      <c r="H1959" s="555">
        <f t="shared" si="146"/>
        <v>0</v>
      </c>
      <c r="I1959" s="552">
        <f t="shared" si="147"/>
        <v>0</v>
      </c>
      <c r="J1959" s="552"/>
      <c r="K1959" s="572"/>
      <c r="L1959" s="556"/>
      <c r="M1959" s="572"/>
      <c r="N1959" s="556"/>
      <c r="O1959" s="556"/>
    </row>
    <row r="1960" spans="3:15" ht="13.5" thickBot="1">
      <c r="C1960" s="558">
        <f>IF(D1895="","-",+C1959+1)</f>
        <v>2076</v>
      </c>
      <c r="D1960" s="559">
        <f t="shared" si="143"/>
        <v>0</v>
      </c>
      <c r="E1960" s="560">
        <f t="shared" si="148"/>
        <v>0</v>
      </c>
      <c r="F1960" s="559">
        <f t="shared" si="144"/>
        <v>0</v>
      </c>
      <c r="G1960" s="561">
        <f t="shared" si="145"/>
        <v>0</v>
      </c>
      <c r="H1960" s="561">
        <f t="shared" si="146"/>
        <v>0</v>
      </c>
      <c r="I1960" s="562">
        <f t="shared" si="147"/>
        <v>0</v>
      </c>
      <c r="J1960" s="552"/>
      <c r="K1960" s="573"/>
      <c r="L1960" s="563"/>
      <c r="M1960" s="573"/>
      <c r="N1960" s="563"/>
      <c r="O1960" s="563"/>
    </row>
    <row r="1961" spans="3:15">
      <c r="C1961" s="506" t="s">
        <v>83</v>
      </c>
      <c r="D1961" s="503"/>
      <c r="E1961" s="503">
        <f>SUM(E1901:E1960)</f>
        <v>2647880.4400000004</v>
      </c>
      <c r="F1961" s="503"/>
      <c r="G1961" s="503">
        <f>SUM(G1901:G1960)</f>
        <v>9755348.1542877071</v>
      </c>
      <c r="H1961" s="503">
        <f>SUM(H1901:H1960)</f>
        <v>9755348.1542877071</v>
      </c>
      <c r="I1961" s="503">
        <f>SUM(I1901:I1960)</f>
        <v>0</v>
      </c>
      <c r="J1961" s="503"/>
      <c r="K1961" s="503"/>
      <c r="L1961" s="503"/>
      <c r="M1961" s="503"/>
      <c r="N1961" s="503"/>
      <c r="O1961" s="3"/>
    </row>
    <row r="1962" spans="3:15">
      <c r="D1962" s="47"/>
      <c r="E1962" s="3"/>
      <c r="F1962" s="3"/>
      <c r="G1962" s="3"/>
      <c r="H1962" s="490"/>
      <c r="I1962" s="490"/>
      <c r="J1962" s="503"/>
      <c r="K1962" s="490"/>
      <c r="L1962" s="490"/>
      <c r="M1962" s="490"/>
      <c r="N1962" s="490"/>
      <c r="O1962" s="3"/>
    </row>
    <row r="1963" spans="3:15">
      <c r="C1963" s="3" t="s">
        <v>13</v>
      </c>
      <c r="D1963" s="47"/>
      <c r="E1963" s="3"/>
      <c r="F1963" s="3"/>
      <c r="G1963" s="3"/>
      <c r="H1963" s="490"/>
      <c r="I1963" s="490"/>
      <c r="J1963" s="503"/>
      <c r="K1963" s="490"/>
      <c r="L1963" s="490"/>
      <c r="M1963" s="490"/>
      <c r="N1963" s="490"/>
      <c r="O1963" s="3"/>
    </row>
    <row r="1964" spans="3:15">
      <c r="C1964" s="3"/>
      <c r="D1964" s="47"/>
      <c r="E1964" s="3"/>
      <c r="F1964" s="3"/>
      <c r="G1964" s="3"/>
      <c r="H1964" s="490"/>
      <c r="I1964" s="490"/>
      <c r="J1964" s="503"/>
      <c r="K1964" s="490"/>
      <c r="L1964" s="490"/>
      <c r="M1964" s="490"/>
      <c r="N1964" s="490"/>
      <c r="O1964" s="3"/>
    </row>
    <row r="1965" spans="3:15">
      <c r="C1965" s="518" t="s">
        <v>14</v>
      </c>
      <c r="D1965" s="506"/>
      <c r="E1965" s="506"/>
      <c r="F1965" s="506"/>
      <c r="G1965" s="503"/>
      <c r="H1965" s="503"/>
      <c r="I1965" s="564"/>
      <c r="J1965" s="564"/>
      <c r="K1965" s="564"/>
      <c r="L1965" s="564"/>
      <c r="M1965" s="564"/>
      <c r="N1965" s="564"/>
      <c r="O1965" s="3"/>
    </row>
    <row r="1966" spans="3:15">
      <c r="C1966" s="507" t="s">
        <v>263</v>
      </c>
      <c r="D1966" s="506"/>
      <c r="E1966" s="506"/>
      <c r="F1966" s="506"/>
      <c r="G1966" s="503"/>
      <c r="H1966" s="503"/>
      <c r="I1966" s="564"/>
      <c r="J1966" s="564"/>
      <c r="K1966" s="564"/>
      <c r="L1966" s="564"/>
      <c r="M1966" s="564"/>
      <c r="N1966" s="564"/>
      <c r="O1966" s="3"/>
    </row>
    <row r="1967" spans="3:15">
      <c r="C1967" s="507" t="s">
        <v>84</v>
      </c>
      <c r="D1967" s="506"/>
      <c r="E1967" s="506"/>
      <c r="F1967" s="506"/>
      <c r="G1967" s="503"/>
      <c r="H1967" s="503"/>
      <c r="I1967" s="564"/>
      <c r="J1967" s="564"/>
      <c r="K1967" s="564"/>
      <c r="L1967" s="564"/>
      <c r="M1967" s="564"/>
      <c r="N1967" s="564"/>
      <c r="O1967" s="3"/>
    </row>
    <row r="1968" spans="3:15">
      <c r="C1968" s="507"/>
      <c r="D1968" s="506"/>
      <c r="E1968" s="506"/>
      <c r="F1968" s="506"/>
      <c r="G1968" s="503"/>
      <c r="H1968" s="503"/>
      <c r="I1968" s="564"/>
      <c r="J1968" s="564"/>
      <c r="K1968" s="564"/>
      <c r="L1968" s="564"/>
      <c r="M1968" s="564"/>
      <c r="N1968" s="564"/>
      <c r="O1968" s="3"/>
    </row>
    <row r="1969" spans="1:16">
      <c r="C1969" s="1200" t="s">
        <v>6</v>
      </c>
      <c r="D1969" s="1200"/>
      <c r="E1969" s="1200"/>
      <c r="F1969" s="1200"/>
      <c r="G1969" s="1200"/>
      <c r="H1969" s="1200"/>
      <c r="I1969" s="1200"/>
      <c r="J1969" s="1200"/>
      <c r="K1969" s="1200"/>
      <c r="L1969" s="1200"/>
      <c r="M1969" s="1200"/>
      <c r="N1969" s="1200"/>
      <c r="O1969" s="1200"/>
    </row>
    <row r="1970" spans="1:16">
      <c r="C1970" s="1200"/>
      <c r="D1970" s="1200"/>
      <c r="E1970" s="1200"/>
      <c r="F1970" s="1200"/>
      <c r="G1970" s="1200"/>
      <c r="H1970" s="1200"/>
      <c r="I1970" s="1200"/>
      <c r="J1970" s="1200"/>
      <c r="K1970" s="1200"/>
      <c r="L1970" s="1200"/>
      <c r="M1970" s="1200"/>
      <c r="N1970" s="1200"/>
      <c r="O1970" s="1200"/>
    </row>
    <row r="1971" spans="1:16" ht="20.25">
      <c r="A1971" s="447" t="str">
        <f>""&amp;A1895&amp;" Worksheet J -  ATRR PROJECTED Calculation for PJM Projects Charged to Benefiting Zones"</f>
        <v xml:space="preserve"> Worksheet J -  ATRR PROJECTED Calculation for PJM Projects Charged to Benefiting Zones</v>
      </c>
      <c r="B1971" s="3"/>
      <c r="C1971" s="3"/>
      <c r="D1971" s="47"/>
      <c r="E1971" s="3"/>
      <c r="F1971" s="489"/>
      <c r="G1971" s="3"/>
      <c r="H1971" s="490"/>
      <c r="K1971" s="398"/>
      <c r="L1971" s="398"/>
      <c r="M1971" s="398"/>
      <c r="N1971" s="398" t="str">
        <f>"Page "&amp;SUM(P$8:P1971)&amp;" of "</f>
        <v xml:space="preserve">Page 23 of </v>
      </c>
      <c r="O1971" s="448">
        <f>COUNT(P$8:P$56653)</f>
        <v>23</v>
      </c>
      <c r="P1971">
        <v>1</v>
      </c>
    </row>
    <row r="1972" spans="1:16">
      <c r="B1972" s="3"/>
      <c r="C1972" s="3"/>
      <c r="D1972" s="47"/>
      <c r="E1972" s="3"/>
      <c r="F1972" s="3"/>
      <c r="G1972" s="3"/>
      <c r="H1972" s="490"/>
      <c r="I1972" s="3"/>
      <c r="J1972" s="3"/>
      <c r="K1972" s="3"/>
      <c r="L1972" s="3"/>
      <c r="M1972" s="3"/>
      <c r="N1972" s="3"/>
      <c r="O1972" s="3"/>
    </row>
    <row r="1973" spans="1:16" ht="18">
      <c r="B1973" s="449" t="s">
        <v>464</v>
      </c>
      <c r="C1973" s="122" t="s">
        <v>85</v>
      </c>
      <c r="D1973" s="47"/>
      <c r="E1973" s="3"/>
      <c r="F1973" s="3"/>
      <c r="G1973" s="3"/>
      <c r="H1973" s="490"/>
      <c r="I1973" s="490"/>
      <c r="J1973" s="503"/>
      <c r="K1973" s="490"/>
      <c r="L1973" s="490"/>
      <c r="M1973" s="490"/>
      <c r="N1973" s="490"/>
      <c r="O1973" s="3"/>
    </row>
    <row r="1974" spans="1:16" ht="18.75">
      <c r="B1974" s="449"/>
      <c r="C1974" s="6"/>
      <c r="D1974" s="47"/>
      <c r="E1974" s="3"/>
      <c r="F1974" s="3"/>
      <c r="G1974" s="3"/>
      <c r="H1974" s="490"/>
      <c r="I1974" s="490"/>
      <c r="J1974" s="503"/>
      <c r="K1974" s="490"/>
      <c r="L1974" s="490"/>
      <c r="M1974" s="490"/>
      <c r="N1974" s="490"/>
      <c r="O1974" s="3"/>
    </row>
    <row r="1975" spans="1:16" ht="18.75">
      <c r="B1975" s="449"/>
      <c r="C1975" s="6" t="s">
        <v>86</v>
      </c>
      <c r="D1975" s="47"/>
      <c r="E1975" s="3"/>
      <c r="F1975" s="3"/>
      <c r="G1975" s="3"/>
      <c r="H1975" s="490"/>
      <c r="I1975" s="490"/>
      <c r="J1975" s="503"/>
      <c r="K1975" s="490"/>
      <c r="L1975" s="490"/>
      <c r="M1975" s="490"/>
      <c r="N1975" s="490"/>
      <c r="O1975" s="3"/>
    </row>
    <row r="1976" spans="1:16" ht="15.75" thickBot="1">
      <c r="C1976" s="131"/>
      <c r="D1976" s="47"/>
      <c r="E1976" s="3"/>
      <c r="F1976" s="3"/>
      <c r="G1976" s="3"/>
      <c r="H1976" s="490"/>
      <c r="I1976" s="490"/>
      <c r="J1976" s="503"/>
      <c r="K1976" s="490"/>
      <c r="L1976" s="490"/>
      <c r="M1976" s="490"/>
      <c r="N1976" s="490"/>
      <c r="O1976" s="3"/>
    </row>
    <row r="1977" spans="1:16" ht="15.75">
      <c r="C1977" s="451" t="s">
        <v>87</v>
      </c>
      <c r="D1977" s="47"/>
      <c r="E1977" s="3"/>
      <c r="F1977" s="3"/>
      <c r="G1977" s="566"/>
      <c r="H1977" s="3" t="s">
        <v>66</v>
      </c>
      <c r="I1977" s="3"/>
      <c r="J1977" s="3"/>
      <c r="K1977" s="509" t="s">
        <v>91</v>
      </c>
      <c r="L1977" s="510"/>
      <c r="M1977" s="511"/>
      <c r="N1977" s="512">
        <f>IF(I1983=0,0,VLOOKUP(I1983,C1990:O2049,5))</f>
        <v>3008999.6371664512</v>
      </c>
      <c r="O1977" s="3"/>
    </row>
    <row r="1978" spans="1:16" ht="15.75">
      <c r="C1978" s="451"/>
      <c r="D1978" s="47"/>
      <c r="E1978" s="3"/>
      <c r="F1978" s="3"/>
      <c r="G1978" s="3"/>
      <c r="H1978" s="513"/>
      <c r="I1978" s="513"/>
      <c r="J1978" s="514"/>
      <c r="K1978" s="515" t="s">
        <v>92</v>
      </c>
      <c r="L1978" s="516"/>
      <c r="M1978" s="3"/>
      <c r="N1978" s="517">
        <f>IF(I1983=0,0,VLOOKUP(I1983,C1990:O2049,6))</f>
        <v>3008999.6371664512</v>
      </c>
      <c r="O1978" s="3"/>
    </row>
    <row r="1979" spans="1:16" ht="13.5" thickBot="1">
      <c r="C1979" s="518" t="s">
        <v>88</v>
      </c>
      <c r="D1979" s="1194" t="s">
        <v>832</v>
      </c>
      <c r="E1979" s="1194"/>
      <c r="F1979" s="1194"/>
      <c r="G1979" s="1194"/>
      <c r="H1979" s="1194"/>
      <c r="I1979" s="1194"/>
      <c r="J1979" s="503"/>
      <c r="K1979" s="519" t="s">
        <v>230</v>
      </c>
      <c r="L1979" s="520"/>
      <c r="M1979" s="520"/>
      <c r="N1979" s="521">
        <f>+N1978-N1977</f>
        <v>0</v>
      </c>
      <c r="O1979" s="3"/>
    </row>
    <row r="1980" spans="1:16">
      <c r="C1980" s="522"/>
      <c r="D1980" s="523"/>
      <c r="E1980" s="506"/>
      <c r="F1980" s="506"/>
      <c r="G1980" s="524"/>
      <c r="H1980" s="490"/>
      <c r="I1980" s="490"/>
      <c r="J1980" s="503"/>
      <c r="K1980" s="490"/>
      <c r="L1980" s="490"/>
      <c r="M1980" s="490"/>
      <c r="N1980" s="490"/>
      <c r="O1980" s="3"/>
    </row>
    <row r="1981" spans="1:16" ht="13.5" thickBot="1">
      <c r="C1981" s="522"/>
      <c r="D1981" s="3"/>
      <c r="E1981" s="524"/>
      <c r="F1981" s="524"/>
      <c r="G1981" s="524"/>
      <c r="H1981" s="524"/>
      <c r="I1981" s="524"/>
      <c r="J1981" s="524"/>
      <c r="K1981" s="524"/>
      <c r="L1981" s="524"/>
      <c r="M1981" s="524"/>
      <c r="N1981" s="524"/>
      <c r="O1981" s="3"/>
    </row>
    <row r="1982" spans="1:16" ht="13.5" thickBot="1">
      <c r="C1982" s="525" t="s">
        <v>89</v>
      </c>
      <c r="D1982" s="526"/>
      <c r="E1982" s="526"/>
      <c r="F1982" s="526"/>
      <c r="G1982" s="526"/>
      <c r="H1982" s="526"/>
      <c r="I1982" s="527"/>
      <c r="K1982" s="3"/>
      <c r="L1982" s="3"/>
      <c r="M1982" s="3"/>
      <c r="N1982" s="3"/>
      <c r="O1982" s="3"/>
    </row>
    <row r="1983" spans="1:16" ht="15">
      <c r="C1983" s="528" t="s">
        <v>67</v>
      </c>
      <c r="D1983" s="568">
        <v>20354072.760000002</v>
      </c>
      <c r="E1983" s="3" t="s">
        <v>68</v>
      </c>
      <c r="G1983" s="47"/>
      <c r="H1983" s="47"/>
      <c r="I1983" s="529">
        <f>$L$26</f>
        <v>2026</v>
      </c>
      <c r="J1983" s="70"/>
      <c r="K1983" s="1193" t="s">
        <v>239</v>
      </c>
      <c r="L1983" s="1193"/>
      <c r="M1983" s="1193"/>
      <c r="N1983" s="1193"/>
      <c r="O1983" s="1193"/>
    </row>
    <row r="1984" spans="1:16">
      <c r="C1984" s="528" t="s">
        <v>70</v>
      </c>
      <c r="D1984" s="977">
        <v>2019</v>
      </c>
      <c r="E1984" s="528" t="s">
        <v>71</v>
      </c>
      <c r="F1984" s="47"/>
      <c r="H1984"/>
      <c r="I1984" s="570">
        <f>IF(G1977="",0,$F$17)</f>
        <v>0</v>
      </c>
      <c r="J1984" s="530"/>
      <c r="K1984" s="503" t="s">
        <v>239</v>
      </c>
    </row>
    <row r="1985" spans="2:15">
      <c r="C1985" s="528" t="s">
        <v>72</v>
      </c>
      <c r="D1985" s="568">
        <v>6</v>
      </c>
      <c r="E1985" s="528" t="s">
        <v>73</v>
      </c>
      <c r="F1985" s="47"/>
      <c r="H1985"/>
      <c r="I1985" s="531">
        <f>$G$70</f>
        <v>0.14912278949438812</v>
      </c>
      <c r="J1985" s="489"/>
      <c r="K1985" t="str">
        <f>"          INPUT PROJECTED ARR (WITH &amp; WITHOUT INCENTIVES) FROM EACH PRIOR YEAR"</f>
        <v xml:space="preserve">          INPUT PROJECTED ARR (WITH &amp; WITHOUT INCENTIVES) FROM EACH PRIOR YEAR</v>
      </c>
    </row>
    <row r="1986" spans="2:15">
      <c r="C1986" s="528" t="s">
        <v>74</v>
      </c>
      <c r="D1986" s="532">
        <f>$G$79</f>
        <v>34</v>
      </c>
      <c r="E1986" s="528" t="s">
        <v>75</v>
      </c>
      <c r="F1986" s="47"/>
      <c r="H1986"/>
      <c r="I1986" s="531">
        <f>IF(G1977="",I1985,$G$69)</f>
        <v>0.14912278949438812</v>
      </c>
      <c r="J1986" s="489"/>
      <c r="K1986" t="s">
        <v>152</v>
      </c>
    </row>
    <row r="1987" spans="2:15" ht="13.5" thickBot="1">
      <c r="C1987" s="528" t="s">
        <v>76</v>
      </c>
      <c r="D1987" s="567" t="s">
        <v>802</v>
      </c>
      <c r="E1987" s="533" t="s">
        <v>77</v>
      </c>
      <c r="F1987" s="534"/>
      <c r="G1987" s="535"/>
      <c r="H1987" s="535"/>
      <c r="I1987" s="521">
        <f>IF(D1983=0,0,D1983/D1986)</f>
        <v>598649.19882352941</v>
      </c>
      <c r="J1987" s="503"/>
      <c r="K1987" s="503" t="s">
        <v>158</v>
      </c>
      <c r="L1987" s="503"/>
      <c r="M1987" s="503"/>
      <c r="N1987" s="503"/>
      <c r="O1987" s="3"/>
    </row>
    <row r="1988" spans="2:15" ht="38.25">
      <c r="B1988" s="450"/>
      <c r="C1988" s="536" t="s">
        <v>67</v>
      </c>
      <c r="D1988" s="537" t="s">
        <v>78</v>
      </c>
      <c r="E1988" s="538" t="s">
        <v>79</v>
      </c>
      <c r="F1988" s="537" t="s">
        <v>80</v>
      </c>
      <c r="G1988" s="538" t="s">
        <v>151</v>
      </c>
      <c r="H1988" s="539" t="s">
        <v>151</v>
      </c>
      <c r="I1988" s="536" t="s">
        <v>90</v>
      </c>
      <c r="J1988" s="540"/>
      <c r="K1988" s="538" t="s">
        <v>160</v>
      </c>
      <c r="L1988" s="541"/>
      <c r="M1988" s="538" t="s">
        <v>160</v>
      </c>
      <c r="N1988" s="541"/>
      <c r="O1988" s="541"/>
    </row>
    <row r="1989" spans="2:15" ht="13.5" thickBot="1">
      <c r="C1989" s="542" t="s">
        <v>467</v>
      </c>
      <c r="D1989" s="543" t="s">
        <v>468</v>
      </c>
      <c r="E1989" s="542" t="s">
        <v>361</v>
      </c>
      <c r="F1989" s="543" t="s">
        <v>468</v>
      </c>
      <c r="G1989" s="544" t="s">
        <v>93</v>
      </c>
      <c r="H1989" s="545" t="s">
        <v>95</v>
      </c>
      <c r="I1989" s="542" t="s">
        <v>15</v>
      </c>
      <c r="J1989" s="546"/>
      <c r="K1989" s="544" t="s">
        <v>82</v>
      </c>
      <c r="L1989" s="547"/>
      <c r="M1989" s="544" t="s">
        <v>95</v>
      </c>
      <c r="N1989" s="547"/>
      <c r="O1989" s="547"/>
    </row>
    <row r="1990" spans="2:15">
      <c r="C1990" s="548">
        <f>IF(D1984= "","-",D1984)</f>
        <v>2019</v>
      </c>
      <c r="D1990" s="506">
        <f>+D1983</f>
        <v>20354072.760000002</v>
      </c>
      <c r="E1990" s="549">
        <f>+I1987/12*(12-D1985)</f>
        <v>299324.59941176471</v>
      </c>
      <c r="F1990" s="506">
        <f>+D1990-E1990</f>
        <v>20054748.160588238</v>
      </c>
      <c r="G1990" s="723">
        <f>+$I$96*((D1990+F1990)/2)+E1990</f>
        <v>3312262.6473404183</v>
      </c>
      <c r="H1990" s="724">
        <f>$I$97*((D1990+F1990)/2)+E1990</f>
        <v>3312262.6473404183</v>
      </c>
      <c r="I1990" s="552">
        <f>+H1990-G1990</f>
        <v>0</v>
      </c>
      <c r="J1990" s="552"/>
      <c r="K1990" s="571">
        <v>355700.30305717891</v>
      </c>
      <c r="L1990" s="553"/>
      <c r="M1990" s="571">
        <v>355700.30305717891</v>
      </c>
      <c r="N1990" s="553"/>
      <c r="O1990" s="553"/>
    </row>
    <row r="1991" spans="2:15">
      <c r="C1991" s="974">
        <f>IF(D1984="","-",+C1990+1)</f>
        <v>2020</v>
      </c>
      <c r="D1991" s="506">
        <f t="shared" ref="D1991:D2049" si="149">F1990</f>
        <v>20054748.160588238</v>
      </c>
      <c r="E1991" s="549">
        <f>IF(D1991&gt;$I$1987,$I$1987,D1991)</f>
        <v>598649.19882352941</v>
      </c>
      <c r="F1991" s="506">
        <f t="shared" ref="F1991:F2049" si="150">+D1991-E1991</f>
        <v>19456098.961764708</v>
      </c>
      <c r="G1991" s="554">
        <f t="shared" ref="G1991:G2049" si="151">+$I$96*((D1991+F1991)/2)+E1991</f>
        <v>3544633.0679093236</v>
      </c>
      <c r="H1991" s="555">
        <f t="shared" ref="H1991:H2049" si="152">$I$97*((D1991+F1991)/2)+E1991</f>
        <v>3544633.0679093236</v>
      </c>
      <c r="I1991" s="552">
        <f t="shared" ref="I1991:I2049" si="153">+H1991-G1991</f>
        <v>0</v>
      </c>
      <c r="J1991" s="552"/>
      <c r="K1991" s="572">
        <v>269767.75523683982</v>
      </c>
      <c r="L1991" s="556"/>
      <c r="M1991" s="572">
        <v>269767.75523683982</v>
      </c>
      <c r="N1991" s="556"/>
      <c r="O1991" s="556"/>
    </row>
    <row r="1992" spans="2:15">
      <c r="C1992" s="974">
        <f>IF(D1984="","-",+C1991+1)</f>
        <v>2021</v>
      </c>
      <c r="D1992" s="506">
        <f t="shared" si="149"/>
        <v>19456098.961764708</v>
      </c>
      <c r="E1992" s="549">
        <f t="shared" ref="E1992:E2049" si="154">IF(D1992&gt;$I$1987,$I$1987,D1992)</f>
        <v>598649.19882352941</v>
      </c>
      <c r="F1992" s="506">
        <f t="shared" si="150"/>
        <v>18857449.762941178</v>
      </c>
      <c r="G1992" s="554">
        <f t="shared" si="151"/>
        <v>3455360.8294521789</v>
      </c>
      <c r="H1992" s="555">
        <f t="shared" si="152"/>
        <v>3455360.8294521789</v>
      </c>
      <c r="I1992" s="552">
        <f t="shared" si="153"/>
        <v>0</v>
      </c>
      <c r="J1992" s="552"/>
      <c r="K1992" s="572">
        <v>2933749.2079076325</v>
      </c>
      <c r="L1992" s="556"/>
      <c r="M1992" s="572">
        <v>2933749.2079076325</v>
      </c>
      <c r="N1992" s="556"/>
      <c r="O1992" s="556"/>
    </row>
    <row r="1993" spans="2:15">
      <c r="C1993" s="974">
        <f>IF(D1984="","-",+C1992+1)</f>
        <v>2022</v>
      </c>
      <c r="D1993" s="506">
        <f t="shared" si="149"/>
        <v>18857449.762941178</v>
      </c>
      <c r="E1993" s="549">
        <f t="shared" si="154"/>
        <v>598649.19882352941</v>
      </c>
      <c r="F1993" s="506">
        <f t="shared" si="150"/>
        <v>18258800.564117648</v>
      </c>
      <c r="G1993" s="554">
        <f t="shared" si="151"/>
        <v>3366088.5909950328</v>
      </c>
      <c r="H1993" s="555">
        <f t="shared" si="152"/>
        <v>3366088.5909950328</v>
      </c>
      <c r="I1993" s="552">
        <f t="shared" si="153"/>
        <v>0</v>
      </c>
      <c r="J1993" s="552"/>
      <c r="K1993" s="572">
        <v>3187129.3575019073</v>
      </c>
      <c r="L1993" s="556"/>
      <c r="M1993" s="572">
        <v>3187129.3575019073</v>
      </c>
      <c r="N1993" s="556"/>
      <c r="O1993" s="556"/>
    </row>
    <row r="1994" spans="2:15">
      <c r="C1994" s="974">
        <f>IF(D1984="","-",+C1993+1)</f>
        <v>2023</v>
      </c>
      <c r="D1994" s="506">
        <f t="shared" si="149"/>
        <v>18258800.564117648</v>
      </c>
      <c r="E1994" s="549">
        <f t="shared" si="154"/>
        <v>598649.19882352941</v>
      </c>
      <c r="F1994" s="506">
        <f t="shared" si="150"/>
        <v>17660151.365294117</v>
      </c>
      <c r="G1994" s="554">
        <f t="shared" si="151"/>
        <v>3276816.3525378881</v>
      </c>
      <c r="H1994" s="555">
        <f t="shared" si="152"/>
        <v>3276816.3525378881</v>
      </c>
      <c r="I1994" s="552">
        <f t="shared" si="153"/>
        <v>0</v>
      </c>
      <c r="J1994" s="552"/>
      <c r="K1994" s="572">
        <v>3316363.7828822671</v>
      </c>
      <c r="L1994" s="556"/>
      <c r="M1994" s="572">
        <v>3316363.7828822671</v>
      </c>
      <c r="N1994" s="556"/>
      <c r="O1994" s="556"/>
    </row>
    <row r="1995" spans="2:15">
      <c r="C1995" s="548">
        <f>IF(D1984="","-",+C1994+1)</f>
        <v>2024</v>
      </c>
      <c r="D1995" s="506">
        <f t="shared" si="149"/>
        <v>17660151.365294117</v>
      </c>
      <c r="E1995" s="549">
        <f t="shared" si="154"/>
        <v>598649.19882352941</v>
      </c>
      <c r="F1995" s="506">
        <f t="shared" si="150"/>
        <v>17061502.166470587</v>
      </c>
      <c r="G1995" s="554">
        <f t="shared" si="151"/>
        <v>3187544.114080742</v>
      </c>
      <c r="H1995" s="555">
        <f t="shared" si="152"/>
        <v>3187544.114080742</v>
      </c>
      <c r="I1995" s="552">
        <f t="shared" si="153"/>
        <v>0</v>
      </c>
      <c r="J1995" s="552"/>
      <c r="K1995" s="572">
        <v>3192450.5551656783</v>
      </c>
      <c r="L1995" s="556"/>
      <c r="M1995" s="572">
        <v>3192450.5551656783</v>
      </c>
      <c r="N1995" s="556"/>
      <c r="O1995" s="556"/>
    </row>
    <row r="1996" spans="2:15">
      <c r="C1996" s="548">
        <f>IF(D1984="","-",+C1995+1)</f>
        <v>2025</v>
      </c>
      <c r="D1996" s="506">
        <f t="shared" si="149"/>
        <v>17061502.166470587</v>
      </c>
      <c r="E1996" s="549">
        <f t="shared" si="154"/>
        <v>598649.19882352941</v>
      </c>
      <c r="F1996" s="506">
        <f t="shared" si="150"/>
        <v>16462852.967647057</v>
      </c>
      <c r="G1996" s="554">
        <f t="shared" si="151"/>
        <v>3098271.8756235968</v>
      </c>
      <c r="H1996" s="555">
        <f t="shared" si="152"/>
        <v>3098271.8756235968</v>
      </c>
      <c r="I1996" s="552">
        <f t="shared" si="153"/>
        <v>0</v>
      </c>
      <c r="J1996" s="552"/>
      <c r="K1996" s="572">
        <v>3095894.6348233912</v>
      </c>
      <c r="L1996" s="556"/>
      <c r="M1996" s="572">
        <v>3095894.6348233912</v>
      </c>
      <c r="N1996" s="556"/>
      <c r="O1996" s="556"/>
    </row>
    <row r="1997" spans="2:15">
      <c r="C1997" s="955">
        <f>IF(D1984="","-",+C1996+1)</f>
        <v>2026</v>
      </c>
      <c r="D1997" s="506">
        <f t="shared" si="149"/>
        <v>16462852.967647057</v>
      </c>
      <c r="E1997" s="549">
        <f t="shared" si="154"/>
        <v>598649.19882352941</v>
      </c>
      <c r="F1997" s="506">
        <f t="shared" si="150"/>
        <v>15864203.768823527</v>
      </c>
      <c r="G1997" s="554">
        <f t="shared" si="151"/>
        <v>3008999.6371664512</v>
      </c>
      <c r="H1997" s="555">
        <f t="shared" si="152"/>
        <v>3008999.6371664512</v>
      </c>
      <c r="I1997" s="552">
        <f t="shared" si="153"/>
        <v>0</v>
      </c>
      <c r="J1997" s="552"/>
      <c r="K1997" s="572"/>
      <c r="L1997" s="556"/>
      <c r="M1997" s="572"/>
      <c r="N1997" s="556"/>
      <c r="O1997" s="556"/>
    </row>
    <row r="1998" spans="2:15">
      <c r="C1998" s="548">
        <f>IF(D1984="","-",+C1997+1)</f>
        <v>2027</v>
      </c>
      <c r="D1998" s="506">
        <f t="shared" si="149"/>
        <v>15864203.768823527</v>
      </c>
      <c r="E1998" s="549">
        <f t="shared" si="154"/>
        <v>598649.19882352941</v>
      </c>
      <c r="F1998" s="506">
        <f t="shared" si="150"/>
        <v>15265554.569999997</v>
      </c>
      <c r="G1998" s="554">
        <f t="shared" si="151"/>
        <v>2919727.398709306</v>
      </c>
      <c r="H1998" s="555">
        <f t="shared" si="152"/>
        <v>2919727.398709306</v>
      </c>
      <c r="I1998" s="552">
        <f t="shared" si="153"/>
        <v>0</v>
      </c>
      <c r="J1998" s="552"/>
      <c r="K1998" s="572"/>
      <c r="L1998" s="556"/>
      <c r="M1998" s="572"/>
      <c r="N1998" s="556"/>
      <c r="O1998" s="556"/>
    </row>
    <row r="1999" spans="2:15">
      <c r="C1999" s="548">
        <f>IF(D1984="","-",+C1998+1)</f>
        <v>2028</v>
      </c>
      <c r="D1999" s="506">
        <f t="shared" si="149"/>
        <v>15265554.569999997</v>
      </c>
      <c r="E1999" s="549">
        <f t="shared" si="154"/>
        <v>598649.19882352941</v>
      </c>
      <c r="F1999" s="506">
        <f t="shared" si="150"/>
        <v>14666905.371176466</v>
      </c>
      <c r="G1999" s="554">
        <f t="shared" si="151"/>
        <v>2830455.1602521609</v>
      </c>
      <c r="H1999" s="555">
        <f t="shared" si="152"/>
        <v>2830455.1602521609</v>
      </c>
      <c r="I1999" s="552">
        <f t="shared" si="153"/>
        <v>0</v>
      </c>
      <c r="J1999" s="552"/>
      <c r="K1999" s="572"/>
      <c r="L1999" s="556"/>
      <c r="M1999" s="572"/>
      <c r="N1999" s="556"/>
      <c r="O1999" s="556"/>
    </row>
    <row r="2000" spans="2:15">
      <c r="C2000" s="548">
        <f>IF(D1984="","-",+C1999+1)</f>
        <v>2029</v>
      </c>
      <c r="D2000" s="506">
        <f t="shared" si="149"/>
        <v>14666905.371176466</v>
      </c>
      <c r="E2000" s="549">
        <f t="shared" si="154"/>
        <v>598649.19882352941</v>
      </c>
      <c r="F2000" s="506">
        <f t="shared" si="150"/>
        <v>14068256.172352936</v>
      </c>
      <c r="G2000" s="554">
        <f t="shared" si="151"/>
        <v>2741182.9217950152</v>
      </c>
      <c r="H2000" s="555">
        <f t="shared" si="152"/>
        <v>2741182.9217950152</v>
      </c>
      <c r="I2000" s="552">
        <f t="shared" si="153"/>
        <v>0</v>
      </c>
      <c r="J2000" s="552"/>
      <c r="K2000" s="572"/>
      <c r="L2000" s="556"/>
      <c r="M2000" s="572"/>
      <c r="N2000" s="556"/>
      <c r="O2000" s="556"/>
    </row>
    <row r="2001" spans="3:15">
      <c r="C2001" s="548">
        <f>IF(D1984="","-",+C2000+1)</f>
        <v>2030</v>
      </c>
      <c r="D2001" s="506">
        <f t="shared" si="149"/>
        <v>14068256.172352936</v>
      </c>
      <c r="E2001" s="549">
        <f t="shared" si="154"/>
        <v>598649.19882352941</v>
      </c>
      <c r="F2001" s="506">
        <f t="shared" si="150"/>
        <v>13469606.973529406</v>
      </c>
      <c r="G2001" s="554">
        <f t="shared" si="151"/>
        <v>2651910.6833378701</v>
      </c>
      <c r="H2001" s="555">
        <f t="shared" si="152"/>
        <v>2651910.6833378701</v>
      </c>
      <c r="I2001" s="552">
        <f t="shared" si="153"/>
        <v>0</v>
      </c>
      <c r="J2001" s="552"/>
      <c r="K2001" s="572"/>
      <c r="L2001" s="556"/>
      <c r="M2001" s="572"/>
      <c r="N2001" s="556"/>
      <c r="O2001" s="556"/>
    </row>
    <row r="2002" spans="3:15">
      <c r="C2002" s="548">
        <f>IF(D1984="","-",+C2001+1)</f>
        <v>2031</v>
      </c>
      <c r="D2002" s="506">
        <f t="shared" si="149"/>
        <v>13469606.973529406</v>
      </c>
      <c r="E2002" s="549">
        <f t="shared" si="154"/>
        <v>598649.19882352941</v>
      </c>
      <c r="F2002" s="506">
        <f t="shared" si="150"/>
        <v>12870957.774705876</v>
      </c>
      <c r="G2002" s="554">
        <f t="shared" si="151"/>
        <v>2562638.4448807244</v>
      </c>
      <c r="H2002" s="555">
        <f t="shared" si="152"/>
        <v>2562638.4448807244</v>
      </c>
      <c r="I2002" s="552">
        <f t="shared" si="153"/>
        <v>0</v>
      </c>
      <c r="J2002" s="552"/>
      <c r="K2002" s="572"/>
      <c r="L2002" s="556"/>
      <c r="M2002" s="572"/>
      <c r="N2002" s="557"/>
      <c r="O2002" s="556"/>
    </row>
    <row r="2003" spans="3:15">
      <c r="C2003" s="548">
        <f>IF(D1984="","-",+C2002+1)</f>
        <v>2032</v>
      </c>
      <c r="D2003" s="506">
        <f t="shared" si="149"/>
        <v>12870957.774705876</v>
      </c>
      <c r="E2003" s="549">
        <f t="shared" si="154"/>
        <v>598649.19882352941</v>
      </c>
      <c r="F2003" s="506">
        <f t="shared" si="150"/>
        <v>12272308.575882345</v>
      </c>
      <c r="G2003" s="554">
        <f t="shared" si="151"/>
        <v>2473366.2064235792</v>
      </c>
      <c r="H2003" s="555">
        <f t="shared" si="152"/>
        <v>2473366.2064235792</v>
      </c>
      <c r="I2003" s="552">
        <f t="shared" si="153"/>
        <v>0</v>
      </c>
      <c r="J2003" s="552"/>
      <c r="K2003" s="572"/>
      <c r="L2003" s="556"/>
      <c r="M2003" s="572"/>
      <c r="N2003" s="556"/>
      <c r="O2003" s="556"/>
    </row>
    <row r="2004" spans="3:15">
      <c r="C2004" s="548">
        <f>IF(D1984="","-",+C2003+1)</f>
        <v>2033</v>
      </c>
      <c r="D2004" s="506">
        <f t="shared" si="149"/>
        <v>12272308.575882345</v>
      </c>
      <c r="E2004" s="549">
        <f t="shared" si="154"/>
        <v>598649.19882352941</v>
      </c>
      <c r="F2004" s="506">
        <f t="shared" si="150"/>
        <v>11673659.377058815</v>
      </c>
      <c r="G2004" s="554">
        <f t="shared" si="151"/>
        <v>2384093.9679664336</v>
      </c>
      <c r="H2004" s="555">
        <f t="shared" si="152"/>
        <v>2384093.9679664336</v>
      </c>
      <c r="I2004" s="552">
        <f t="shared" si="153"/>
        <v>0</v>
      </c>
      <c r="J2004" s="552"/>
      <c r="K2004" s="572"/>
      <c r="L2004" s="556"/>
      <c r="M2004" s="572"/>
      <c r="N2004" s="556"/>
      <c r="O2004" s="556"/>
    </row>
    <row r="2005" spans="3:15">
      <c r="C2005" s="548">
        <f>IF(D1984="","-",+C2004+1)</f>
        <v>2034</v>
      </c>
      <c r="D2005" s="506">
        <f t="shared" si="149"/>
        <v>11673659.377058815</v>
      </c>
      <c r="E2005" s="549">
        <f t="shared" si="154"/>
        <v>598649.19882352941</v>
      </c>
      <c r="F2005" s="506">
        <f t="shared" si="150"/>
        <v>11075010.178235285</v>
      </c>
      <c r="G2005" s="554">
        <f t="shared" si="151"/>
        <v>2294821.7295092884</v>
      </c>
      <c r="H2005" s="555">
        <f t="shared" si="152"/>
        <v>2294821.7295092884</v>
      </c>
      <c r="I2005" s="552">
        <f t="shared" si="153"/>
        <v>0</v>
      </c>
      <c r="J2005" s="552"/>
      <c r="K2005" s="572"/>
      <c r="L2005" s="556"/>
      <c r="M2005" s="572"/>
      <c r="N2005" s="556"/>
      <c r="O2005" s="556"/>
    </row>
    <row r="2006" spans="3:15">
      <c r="C2006" s="548">
        <f>IF(D1984="","-",+C2005+1)</f>
        <v>2035</v>
      </c>
      <c r="D2006" s="506">
        <f t="shared" si="149"/>
        <v>11075010.178235285</v>
      </c>
      <c r="E2006" s="549">
        <f t="shared" si="154"/>
        <v>598649.19882352941</v>
      </c>
      <c r="F2006" s="506">
        <f t="shared" si="150"/>
        <v>10476360.979411755</v>
      </c>
      <c r="G2006" s="554">
        <f t="shared" si="151"/>
        <v>2205549.4910521428</v>
      </c>
      <c r="H2006" s="555">
        <f t="shared" si="152"/>
        <v>2205549.4910521428</v>
      </c>
      <c r="I2006" s="552">
        <f t="shared" si="153"/>
        <v>0</v>
      </c>
      <c r="J2006" s="552"/>
      <c r="K2006" s="572"/>
      <c r="L2006" s="556"/>
      <c r="M2006" s="572"/>
      <c r="N2006" s="556"/>
      <c r="O2006" s="556"/>
    </row>
    <row r="2007" spans="3:15">
      <c r="C2007" s="548">
        <f>IF(D1984="","-",+C2006+1)</f>
        <v>2036</v>
      </c>
      <c r="D2007" s="506">
        <f t="shared" si="149"/>
        <v>10476360.979411755</v>
      </c>
      <c r="E2007" s="549">
        <f t="shared" si="154"/>
        <v>598649.19882352941</v>
      </c>
      <c r="F2007" s="506">
        <f t="shared" si="150"/>
        <v>9877711.7805882245</v>
      </c>
      <c r="G2007" s="554">
        <f t="shared" si="151"/>
        <v>2116277.2525949976</v>
      </c>
      <c r="H2007" s="555">
        <f t="shared" si="152"/>
        <v>2116277.2525949976</v>
      </c>
      <c r="I2007" s="552">
        <f t="shared" si="153"/>
        <v>0</v>
      </c>
      <c r="J2007" s="552"/>
      <c r="K2007" s="572"/>
      <c r="L2007" s="556"/>
      <c r="M2007" s="572"/>
      <c r="N2007" s="556"/>
      <c r="O2007" s="556"/>
    </row>
    <row r="2008" spans="3:15">
      <c r="C2008" s="548">
        <f>IF(D1984="","-",+C2007+1)</f>
        <v>2037</v>
      </c>
      <c r="D2008" s="506">
        <f t="shared" si="149"/>
        <v>9877711.7805882245</v>
      </c>
      <c r="E2008" s="549">
        <f t="shared" si="154"/>
        <v>598649.19882352941</v>
      </c>
      <c r="F2008" s="506">
        <f t="shared" si="150"/>
        <v>9279062.5817646943</v>
      </c>
      <c r="G2008" s="554">
        <f t="shared" si="151"/>
        <v>2027005.014137852</v>
      </c>
      <c r="H2008" s="555">
        <f t="shared" si="152"/>
        <v>2027005.014137852</v>
      </c>
      <c r="I2008" s="552">
        <f t="shared" si="153"/>
        <v>0</v>
      </c>
      <c r="J2008" s="552"/>
      <c r="K2008" s="572"/>
      <c r="L2008" s="556"/>
      <c r="M2008" s="572"/>
      <c r="N2008" s="556"/>
      <c r="O2008" s="556"/>
    </row>
    <row r="2009" spans="3:15">
      <c r="C2009" s="548">
        <f>IF(D1984="","-",+C2008+1)</f>
        <v>2038</v>
      </c>
      <c r="D2009" s="506">
        <f t="shared" si="149"/>
        <v>9279062.5817646943</v>
      </c>
      <c r="E2009" s="549">
        <f t="shared" si="154"/>
        <v>598649.19882352941</v>
      </c>
      <c r="F2009" s="506">
        <f t="shared" si="150"/>
        <v>8680413.3829411641</v>
      </c>
      <c r="G2009" s="554">
        <f t="shared" si="151"/>
        <v>1937732.7756807068</v>
      </c>
      <c r="H2009" s="555">
        <f t="shared" si="152"/>
        <v>1937732.7756807068</v>
      </c>
      <c r="I2009" s="552">
        <f t="shared" si="153"/>
        <v>0</v>
      </c>
      <c r="J2009" s="552"/>
      <c r="K2009" s="572"/>
      <c r="L2009" s="556"/>
      <c r="M2009" s="572"/>
      <c r="N2009" s="556"/>
      <c r="O2009" s="556"/>
    </row>
    <row r="2010" spans="3:15">
      <c r="C2010" s="548">
        <f>IF(D1984="","-",+C2009+1)</f>
        <v>2039</v>
      </c>
      <c r="D2010" s="506">
        <f t="shared" si="149"/>
        <v>8680413.3829411641</v>
      </c>
      <c r="E2010" s="549">
        <f t="shared" si="154"/>
        <v>598649.19882352941</v>
      </c>
      <c r="F2010" s="506">
        <f t="shared" si="150"/>
        <v>8081764.1841176348</v>
      </c>
      <c r="G2010" s="554">
        <f t="shared" si="151"/>
        <v>1848460.5372235612</v>
      </c>
      <c r="H2010" s="555">
        <f t="shared" si="152"/>
        <v>1848460.5372235612</v>
      </c>
      <c r="I2010" s="552">
        <f t="shared" si="153"/>
        <v>0</v>
      </c>
      <c r="J2010" s="552"/>
      <c r="K2010" s="572"/>
      <c r="L2010" s="556"/>
      <c r="M2010" s="572"/>
      <c r="N2010" s="556"/>
      <c r="O2010" s="556"/>
    </row>
    <row r="2011" spans="3:15">
      <c r="C2011" s="548">
        <f>IF(D1984="","-",+C2010+1)</f>
        <v>2040</v>
      </c>
      <c r="D2011" s="506">
        <f t="shared" si="149"/>
        <v>8081764.1841176348</v>
      </c>
      <c r="E2011" s="549">
        <f t="shared" si="154"/>
        <v>598649.19882352941</v>
      </c>
      <c r="F2011" s="506">
        <f t="shared" si="150"/>
        <v>7483114.9852941055</v>
      </c>
      <c r="G2011" s="554">
        <f t="shared" si="151"/>
        <v>1759188.298766416</v>
      </c>
      <c r="H2011" s="555">
        <f t="shared" si="152"/>
        <v>1759188.298766416</v>
      </c>
      <c r="I2011" s="552">
        <f t="shared" si="153"/>
        <v>0</v>
      </c>
      <c r="J2011" s="552"/>
      <c r="K2011" s="572"/>
      <c r="L2011" s="556"/>
      <c r="M2011" s="572"/>
      <c r="N2011" s="556"/>
      <c r="O2011" s="556"/>
    </row>
    <row r="2012" spans="3:15">
      <c r="C2012" s="548">
        <f>IF(D1984="","-",+C2011+1)</f>
        <v>2041</v>
      </c>
      <c r="D2012" s="506">
        <f t="shared" si="149"/>
        <v>7483114.9852941055</v>
      </c>
      <c r="E2012" s="549">
        <f t="shared" si="154"/>
        <v>598649.19882352941</v>
      </c>
      <c r="F2012" s="506">
        <f t="shared" si="150"/>
        <v>6884465.7864705762</v>
      </c>
      <c r="G2012" s="554">
        <f t="shared" si="151"/>
        <v>1669916.0603092709</v>
      </c>
      <c r="H2012" s="555">
        <f t="shared" si="152"/>
        <v>1669916.0603092709</v>
      </c>
      <c r="I2012" s="552">
        <f t="shared" si="153"/>
        <v>0</v>
      </c>
      <c r="J2012" s="552"/>
      <c r="K2012" s="572"/>
      <c r="L2012" s="556"/>
      <c r="M2012" s="572"/>
      <c r="N2012" s="556"/>
      <c r="O2012" s="556"/>
    </row>
    <row r="2013" spans="3:15">
      <c r="C2013" s="548">
        <f>IF(D1984="","-",+C2012+1)</f>
        <v>2042</v>
      </c>
      <c r="D2013" s="506">
        <f t="shared" si="149"/>
        <v>6884465.7864705762</v>
      </c>
      <c r="E2013" s="549">
        <f t="shared" si="154"/>
        <v>598649.19882352941</v>
      </c>
      <c r="F2013" s="506">
        <f t="shared" si="150"/>
        <v>6285816.5876470469</v>
      </c>
      <c r="G2013" s="554">
        <f t="shared" si="151"/>
        <v>1580643.8218521257</v>
      </c>
      <c r="H2013" s="555">
        <f t="shared" si="152"/>
        <v>1580643.8218521257</v>
      </c>
      <c r="I2013" s="552">
        <f t="shared" si="153"/>
        <v>0</v>
      </c>
      <c r="J2013" s="552"/>
      <c r="K2013" s="572"/>
      <c r="L2013" s="556"/>
      <c r="M2013" s="572"/>
      <c r="N2013" s="556"/>
      <c r="O2013" s="556"/>
    </row>
    <row r="2014" spans="3:15">
      <c r="C2014" s="548">
        <f>IF(D1984="","-",+C2013+1)</f>
        <v>2043</v>
      </c>
      <c r="D2014" s="506">
        <f t="shared" si="149"/>
        <v>6285816.5876470469</v>
      </c>
      <c r="E2014" s="549">
        <f t="shared" si="154"/>
        <v>598649.19882352941</v>
      </c>
      <c r="F2014" s="506">
        <f t="shared" si="150"/>
        <v>5687167.3888235176</v>
      </c>
      <c r="G2014" s="554">
        <f t="shared" si="151"/>
        <v>1491371.5833949803</v>
      </c>
      <c r="H2014" s="555">
        <f t="shared" si="152"/>
        <v>1491371.5833949803</v>
      </c>
      <c r="I2014" s="552">
        <f t="shared" si="153"/>
        <v>0</v>
      </c>
      <c r="J2014" s="552"/>
      <c r="K2014" s="572"/>
      <c r="L2014" s="556"/>
      <c r="M2014" s="572"/>
      <c r="N2014" s="556"/>
      <c r="O2014" s="556"/>
    </row>
    <row r="2015" spans="3:15">
      <c r="C2015" s="548">
        <f>IF(D1984="","-",+C2014+1)</f>
        <v>2044</v>
      </c>
      <c r="D2015" s="506">
        <f t="shared" si="149"/>
        <v>5687167.3888235176</v>
      </c>
      <c r="E2015" s="549">
        <f t="shared" si="154"/>
        <v>598649.19882352941</v>
      </c>
      <c r="F2015" s="506">
        <f t="shared" si="150"/>
        <v>5088518.1899999883</v>
      </c>
      <c r="G2015" s="554">
        <f t="shared" si="151"/>
        <v>1402099.3449378354</v>
      </c>
      <c r="H2015" s="555">
        <f t="shared" si="152"/>
        <v>1402099.3449378354</v>
      </c>
      <c r="I2015" s="552">
        <f t="shared" si="153"/>
        <v>0</v>
      </c>
      <c r="J2015" s="552"/>
      <c r="K2015" s="572"/>
      <c r="L2015" s="556"/>
      <c r="M2015" s="572"/>
      <c r="N2015" s="556"/>
      <c r="O2015" s="556"/>
    </row>
    <row r="2016" spans="3:15">
      <c r="C2016" s="548">
        <f>IF(D1984="","-",+C2015+1)</f>
        <v>2045</v>
      </c>
      <c r="D2016" s="506">
        <f t="shared" si="149"/>
        <v>5088518.1899999883</v>
      </c>
      <c r="E2016" s="549">
        <f t="shared" si="154"/>
        <v>598649.19882352941</v>
      </c>
      <c r="F2016" s="506">
        <f t="shared" si="150"/>
        <v>4489868.991176459</v>
      </c>
      <c r="G2016" s="554">
        <f t="shared" si="151"/>
        <v>1312827.1064806897</v>
      </c>
      <c r="H2016" s="555">
        <f t="shared" si="152"/>
        <v>1312827.1064806897</v>
      </c>
      <c r="I2016" s="552">
        <f t="shared" si="153"/>
        <v>0</v>
      </c>
      <c r="J2016" s="552"/>
      <c r="K2016" s="572"/>
      <c r="L2016" s="556"/>
      <c r="M2016" s="572"/>
      <c r="N2016" s="556"/>
      <c r="O2016" s="556"/>
    </row>
    <row r="2017" spans="3:15">
      <c r="C2017" s="548">
        <f>IF(D1984="","-",+C2016+1)</f>
        <v>2046</v>
      </c>
      <c r="D2017" s="506">
        <f t="shared" si="149"/>
        <v>4489868.991176459</v>
      </c>
      <c r="E2017" s="549">
        <f t="shared" si="154"/>
        <v>598649.19882352941</v>
      </c>
      <c r="F2017" s="506">
        <f t="shared" si="150"/>
        <v>3891219.7923529297</v>
      </c>
      <c r="G2017" s="554">
        <f t="shared" si="151"/>
        <v>1223554.8680235445</v>
      </c>
      <c r="H2017" s="555">
        <f t="shared" si="152"/>
        <v>1223554.8680235445</v>
      </c>
      <c r="I2017" s="552">
        <f t="shared" si="153"/>
        <v>0</v>
      </c>
      <c r="J2017" s="552"/>
      <c r="K2017" s="572"/>
      <c r="L2017" s="556"/>
      <c r="M2017" s="572"/>
      <c r="N2017" s="556"/>
      <c r="O2017" s="556"/>
    </row>
    <row r="2018" spans="3:15">
      <c r="C2018" s="548">
        <f>IF(D1984="","-",+C2017+1)</f>
        <v>2047</v>
      </c>
      <c r="D2018" s="506">
        <f t="shared" si="149"/>
        <v>3891219.7923529297</v>
      </c>
      <c r="E2018" s="549">
        <f t="shared" si="154"/>
        <v>598649.19882352941</v>
      </c>
      <c r="F2018" s="506">
        <f t="shared" si="150"/>
        <v>3292570.5935294004</v>
      </c>
      <c r="G2018" s="550">
        <f t="shared" si="151"/>
        <v>1134282.6295663994</v>
      </c>
      <c r="H2018" s="555">
        <f t="shared" si="152"/>
        <v>1134282.6295663994</v>
      </c>
      <c r="I2018" s="552">
        <f t="shared" si="153"/>
        <v>0</v>
      </c>
      <c r="J2018" s="552"/>
      <c r="K2018" s="572"/>
      <c r="L2018" s="556"/>
      <c r="M2018" s="572"/>
      <c r="N2018" s="556"/>
      <c r="O2018" s="556"/>
    </row>
    <row r="2019" spans="3:15">
      <c r="C2019" s="548">
        <f>IF(D1984="","-",+C2018+1)</f>
        <v>2048</v>
      </c>
      <c r="D2019" s="506">
        <f t="shared" si="149"/>
        <v>3292570.5935294004</v>
      </c>
      <c r="E2019" s="549">
        <f t="shared" si="154"/>
        <v>598649.19882352941</v>
      </c>
      <c r="F2019" s="506">
        <f t="shared" si="150"/>
        <v>2693921.3947058711</v>
      </c>
      <c r="G2019" s="554">
        <f t="shared" si="151"/>
        <v>1045010.3911092541</v>
      </c>
      <c r="H2019" s="555">
        <f t="shared" si="152"/>
        <v>1045010.3911092541</v>
      </c>
      <c r="I2019" s="552">
        <f t="shared" si="153"/>
        <v>0</v>
      </c>
      <c r="J2019" s="552"/>
      <c r="K2019" s="572"/>
      <c r="L2019" s="556"/>
      <c r="M2019" s="572"/>
      <c r="N2019" s="556"/>
      <c r="O2019" s="556"/>
    </row>
    <row r="2020" spans="3:15">
      <c r="C2020" s="548">
        <f>IF(D1984="","-",+C2019+1)</f>
        <v>2049</v>
      </c>
      <c r="D2020" s="506">
        <f t="shared" si="149"/>
        <v>2693921.3947058711</v>
      </c>
      <c r="E2020" s="549">
        <f t="shared" si="154"/>
        <v>598649.19882352941</v>
      </c>
      <c r="F2020" s="506">
        <f t="shared" si="150"/>
        <v>2095272.1958823418</v>
      </c>
      <c r="G2020" s="554">
        <f t="shared" si="151"/>
        <v>955738.15265210881</v>
      </c>
      <c r="H2020" s="555">
        <f t="shared" si="152"/>
        <v>955738.15265210881</v>
      </c>
      <c r="I2020" s="552">
        <f t="shared" si="153"/>
        <v>0</v>
      </c>
      <c r="J2020" s="552"/>
      <c r="K2020" s="572"/>
      <c r="L2020" s="556"/>
      <c r="M2020" s="572"/>
      <c r="N2020" s="556"/>
      <c r="O2020" s="556"/>
    </row>
    <row r="2021" spans="3:15">
      <c r="C2021" s="548">
        <f>IF(D1984="","-",+C2020+1)</f>
        <v>2050</v>
      </c>
      <c r="D2021" s="506">
        <f t="shared" si="149"/>
        <v>2095272.1958823418</v>
      </c>
      <c r="E2021" s="549">
        <f t="shared" si="154"/>
        <v>598649.19882352941</v>
      </c>
      <c r="F2021" s="506">
        <f t="shared" si="150"/>
        <v>1496622.9970588125</v>
      </c>
      <c r="G2021" s="554">
        <f t="shared" si="151"/>
        <v>866465.91419496364</v>
      </c>
      <c r="H2021" s="555">
        <f t="shared" si="152"/>
        <v>866465.91419496364</v>
      </c>
      <c r="I2021" s="552">
        <f t="shared" si="153"/>
        <v>0</v>
      </c>
      <c r="J2021" s="552"/>
      <c r="K2021" s="572"/>
      <c r="L2021" s="556"/>
      <c r="M2021" s="572"/>
      <c r="N2021" s="556"/>
      <c r="O2021" s="556"/>
    </row>
    <row r="2022" spans="3:15">
      <c r="C2022" s="548">
        <f>IF(D1984="","-",+C2021+1)</f>
        <v>2051</v>
      </c>
      <c r="D2022" s="506">
        <f t="shared" si="149"/>
        <v>1496622.9970588125</v>
      </c>
      <c r="E2022" s="549">
        <f t="shared" si="154"/>
        <v>598649.19882352941</v>
      </c>
      <c r="F2022" s="506">
        <f t="shared" si="150"/>
        <v>897973.79823528312</v>
      </c>
      <c r="G2022" s="554">
        <f t="shared" si="151"/>
        <v>777193.67573781835</v>
      </c>
      <c r="H2022" s="555">
        <f t="shared" si="152"/>
        <v>777193.67573781835</v>
      </c>
      <c r="I2022" s="552">
        <f t="shared" si="153"/>
        <v>0</v>
      </c>
      <c r="J2022" s="552"/>
      <c r="K2022" s="572"/>
      <c r="L2022" s="556"/>
      <c r="M2022" s="572"/>
      <c r="N2022" s="556"/>
      <c r="O2022" s="556"/>
    </row>
    <row r="2023" spans="3:15">
      <c r="C2023" s="548">
        <f>IF(D1984="","-",+C2022+1)</f>
        <v>2052</v>
      </c>
      <c r="D2023" s="506">
        <f t="shared" si="149"/>
        <v>897973.79823528312</v>
      </c>
      <c r="E2023" s="549">
        <f t="shared" si="154"/>
        <v>598649.19882352941</v>
      </c>
      <c r="F2023" s="506">
        <f t="shared" si="150"/>
        <v>299324.5994117537</v>
      </c>
      <c r="G2023" s="554">
        <f t="shared" si="151"/>
        <v>687921.43728067307</v>
      </c>
      <c r="H2023" s="555">
        <f t="shared" si="152"/>
        <v>687921.43728067307</v>
      </c>
      <c r="I2023" s="552">
        <f t="shared" si="153"/>
        <v>0</v>
      </c>
      <c r="J2023" s="552"/>
      <c r="K2023" s="572"/>
      <c r="L2023" s="556"/>
      <c r="M2023" s="572"/>
      <c r="N2023" s="556"/>
      <c r="O2023" s="556"/>
    </row>
    <row r="2024" spans="3:15">
      <c r="C2024" s="548">
        <f>IF(D1984="","-",+C2023+1)</f>
        <v>2053</v>
      </c>
      <c r="D2024" s="506">
        <f t="shared" si="149"/>
        <v>299324.5994117537</v>
      </c>
      <c r="E2024" s="549">
        <f t="shared" si="154"/>
        <v>299324.5994117537</v>
      </c>
      <c r="F2024" s="506">
        <f t="shared" si="150"/>
        <v>0</v>
      </c>
      <c r="G2024" s="554">
        <f t="shared" si="151"/>
        <v>321642.65902603918</v>
      </c>
      <c r="H2024" s="555">
        <f t="shared" si="152"/>
        <v>321642.65902603918</v>
      </c>
      <c r="I2024" s="552">
        <f t="shared" si="153"/>
        <v>0</v>
      </c>
      <c r="J2024" s="552"/>
      <c r="K2024" s="572"/>
      <c r="L2024" s="556"/>
      <c r="M2024" s="572"/>
      <c r="N2024" s="556"/>
      <c r="O2024" s="556"/>
    </row>
    <row r="2025" spans="3:15">
      <c r="C2025" s="548">
        <f>IF(D1984="","-",+C2024+1)</f>
        <v>2054</v>
      </c>
      <c r="D2025" s="506">
        <f t="shared" si="149"/>
        <v>0</v>
      </c>
      <c r="E2025" s="549">
        <f t="shared" si="154"/>
        <v>0</v>
      </c>
      <c r="F2025" s="506">
        <f t="shared" si="150"/>
        <v>0</v>
      </c>
      <c r="G2025" s="554">
        <f t="shared" si="151"/>
        <v>0</v>
      </c>
      <c r="H2025" s="555">
        <f t="shared" si="152"/>
        <v>0</v>
      </c>
      <c r="I2025" s="552">
        <f t="shared" si="153"/>
        <v>0</v>
      </c>
      <c r="J2025" s="552"/>
      <c r="K2025" s="572"/>
      <c r="L2025" s="556"/>
      <c r="M2025" s="572"/>
      <c r="N2025" s="556"/>
      <c r="O2025" s="556"/>
    </row>
    <row r="2026" spans="3:15">
      <c r="C2026" s="548">
        <f>IF(D1984="","-",+C2025+1)</f>
        <v>2055</v>
      </c>
      <c r="D2026" s="506">
        <f t="shared" si="149"/>
        <v>0</v>
      </c>
      <c r="E2026" s="549">
        <f t="shared" si="154"/>
        <v>0</v>
      </c>
      <c r="F2026" s="506">
        <f t="shared" si="150"/>
        <v>0</v>
      </c>
      <c r="G2026" s="554">
        <f t="shared" si="151"/>
        <v>0</v>
      </c>
      <c r="H2026" s="555">
        <f t="shared" si="152"/>
        <v>0</v>
      </c>
      <c r="I2026" s="552">
        <f t="shared" si="153"/>
        <v>0</v>
      </c>
      <c r="J2026" s="552"/>
      <c r="K2026" s="572"/>
      <c r="L2026" s="556"/>
      <c r="M2026" s="572"/>
      <c r="N2026" s="556"/>
      <c r="O2026" s="556"/>
    </row>
    <row r="2027" spans="3:15">
      <c r="C2027" s="548">
        <f>IF(D1984="","-",+C2026+1)</f>
        <v>2056</v>
      </c>
      <c r="D2027" s="506">
        <f t="shared" si="149"/>
        <v>0</v>
      </c>
      <c r="E2027" s="549">
        <f t="shared" si="154"/>
        <v>0</v>
      </c>
      <c r="F2027" s="506">
        <f t="shared" si="150"/>
        <v>0</v>
      </c>
      <c r="G2027" s="554">
        <f t="shared" si="151"/>
        <v>0</v>
      </c>
      <c r="H2027" s="555">
        <f t="shared" si="152"/>
        <v>0</v>
      </c>
      <c r="I2027" s="552">
        <f t="shared" si="153"/>
        <v>0</v>
      </c>
      <c r="J2027" s="552"/>
      <c r="K2027" s="572"/>
      <c r="L2027" s="556"/>
      <c r="M2027" s="572"/>
      <c r="N2027" s="556"/>
      <c r="O2027" s="556"/>
    </row>
    <row r="2028" spans="3:15">
      <c r="C2028" s="548">
        <f>IF(D1984="","-",+C2027+1)</f>
        <v>2057</v>
      </c>
      <c r="D2028" s="506">
        <f t="shared" si="149"/>
        <v>0</v>
      </c>
      <c r="E2028" s="549">
        <f t="shared" si="154"/>
        <v>0</v>
      </c>
      <c r="F2028" s="506">
        <f t="shared" si="150"/>
        <v>0</v>
      </c>
      <c r="G2028" s="554">
        <f t="shared" si="151"/>
        <v>0</v>
      </c>
      <c r="H2028" s="555">
        <f t="shared" si="152"/>
        <v>0</v>
      </c>
      <c r="I2028" s="552">
        <f t="shared" si="153"/>
        <v>0</v>
      </c>
      <c r="J2028" s="552"/>
      <c r="K2028" s="572"/>
      <c r="L2028" s="556"/>
      <c r="M2028" s="572"/>
      <c r="N2028" s="556"/>
      <c r="O2028" s="556"/>
    </row>
    <row r="2029" spans="3:15">
      <c r="C2029" s="548">
        <f>IF(D1984="","-",+C2028+1)</f>
        <v>2058</v>
      </c>
      <c r="D2029" s="506">
        <f t="shared" si="149"/>
        <v>0</v>
      </c>
      <c r="E2029" s="549">
        <f t="shared" si="154"/>
        <v>0</v>
      </c>
      <c r="F2029" s="506">
        <f t="shared" si="150"/>
        <v>0</v>
      </c>
      <c r="G2029" s="554">
        <f t="shared" si="151"/>
        <v>0</v>
      </c>
      <c r="H2029" s="555">
        <f t="shared" si="152"/>
        <v>0</v>
      </c>
      <c r="I2029" s="552">
        <f t="shared" si="153"/>
        <v>0</v>
      </c>
      <c r="J2029" s="552"/>
      <c r="K2029" s="572"/>
      <c r="L2029" s="556"/>
      <c r="M2029" s="572"/>
      <c r="N2029" s="556"/>
      <c r="O2029" s="556"/>
    </row>
    <row r="2030" spans="3:15">
      <c r="C2030" s="548">
        <f>IF(D1984="","-",+C2029+1)</f>
        <v>2059</v>
      </c>
      <c r="D2030" s="506">
        <f t="shared" si="149"/>
        <v>0</v>
      </c>
      <c r="E2030" s="549">
        <f t="shared" si="154"/>
        <v>0</v>
      </c>
      <c r="F2030" s="506">
        <f t="shared" si="150"/>
        <v>0</v>
      </c>
      <c r="G2030" s="554">
        <f t="shared" si="151"/>
        <v>0</v>
      </c>
      <c r="H2030" s="555">
        <f t="shared" si="152"/>
        <v>0</v>
      </c>
      <c r="I2030" s="552">
        <f t="shared" si="153"/>
        <v>0</v>
      </c>
      <c r="J2030" s="552"/>
      <c r="K2030" s="572"/>
      <c r="L2030" s="556"/>
      <c r="M2030" s="572"/>
      <c r="N2030" s="556"/>
      <c r="O2030" s="556"/>
    </row>
    <row r="2031" spans="3:15">
      <c r="C2031" s="548">
        <f>IF(D1984="","-",+C2030+1)</f>
        <v>2060</v>
      </c>
      <c r="D2031" s="506">
        <f t="shared" si="149"/>
        <v>0</v>
      </c>
      <c r="E2031" s="549">
        <f t="shared" si="154"/>
        <v>0</v>
      </c>
      <c r="F2031" s="506">
        <f t="shared" si="150"/>
        <v>0</v>
      </c>
      <c r="G2031" s="554">
        <f t="shared" si="151"/>
        <v>0</v>
      </c>
      <c r="H2031" s="555">
        <f t="shared" si="152"/>
        <v>0</v>
      </c>
      <c r="I2031" s="552">
        <f t="shared" si="153"/>
        <v>0</v>
      </c>
      <c r="J2031" s="552"/>
      <c r="K2031" s="572"/>
      <c r="L2031" s="556"/>
      <c r="M2031" s="572"/>
      <c r="N2031" s="556"/>
      <c r="O2031" s="556"/>
    </row>
    <row r="2032" spans="3:15">
      <c r="C2032" s="548">
        <f>IF(D1984="","-",+C2031+1)</f>
        <v>2061</v>
      </c>
      <c r="D2032" s="506">
        <f t="shared" si="149"/>
        <v>0</v>
      </c>
      <c r="E2032" s="549">
        <f t="shared" si="154"/>
        <v>0</v>
      </c>
      <c r="F2032" s="506">
        <f t="shared" si="150"/>
        <v>0</v>
      </c>
      <c r="G2032" s="554">
        <f t="shared" si="151"/>
        <v>0</v>
      </c>
      <c r="H2032" s="555">
        <f t="shared" si="152"/>
        <v>0</v>
      </c>
      <c r="I2032" s="552">
        <f t="shared" si="153"/>
        <v>0</v>
      </c>
      <c r="J2032" s="552"/>
      <c r="K2032" s="572"/>
      <c r="L2032" s="556"/>
      <c r="M2032" s="572"/>
      <c r="N2032" s="556"/>
      <c r="O2032" s="556"/>
    </row>
    <row r="2033" spans="3:15">
      <c r="C2033" s="548">
        <f>IF(D1984="","-",+C2032+1)</f>
        <v>2062</v>
      </c>
      <c r="D2033" s="506">
        <f t="shared" si="149"/>
        <v>0</v>
      </c>
      <c r="E2033" s="549">
        <f t="shared" si="154"/>
        <v>0</v>
      </c>
      <c r="F2033" s="506">
        <f t="shared" si="150"/>
        <v>0</v>
      </c>
      <c r="G2033" s="554">
        <f t="shared" si="151"/>
        <v>0</v>
      </c>
      <c r="H2033" s="555">
        <f t="shared" si="152"/>
        <v>0</v>
      </c>
      <c r="I2033" s="552">
        <f t="shared" si="153"/>
        <v>0</v>
      </c>
      <c r="J2033" s="552"/>
      <c r="K2033" s="572"/>
      <c r="L2033" s="556"/>
      <c r="M2033" s="572"/>
      <c r="N2033" s="556"/>
      <c r="O2033" s="556"/>
    </row>
    <row r="2034" spans="3:15">
      <c r="C2034" s="548">
        <f>IF(D1984="","-",+C2033+1)</f>
        <v>2063</v>
      </c>
      <c r="D2034" s="506">
        <f t="shared" si="149"/>
        <v>0</v>
      </c>
      <c r="E2034" s="549">
        <f t="shared" si="154"/>
        <v>0</v>
      </c>
      <c r="F2034" s="506">
        <f t="shared" si="150"/>
        <v>0</v>
      </c>
      <c r="G2034" s="554">
        <f t="shared" si="151"/>
        <v>0</v>
      </c>
      <c r="H2034" s="555">
        <f t="shared" si="152"/>
        <v>0</v>
      </c>
      <c r="I2034" s="552">
        <f t="shared" si="153"/>
        <v>0</v>
      </c>
      <c r="J2034" s="552"/>
      <c r="K2034" s="572"/>
      <c r="L2034" s="556"/>
      <c r="M2034" s="572"/>
      <c r="N2034" s="556"/>
      <c r="O2034" s="556"/>
    </row>
    <row r="2035" spans="3:15">
      <c r="C2035" s="548">
        <f>IF(D1984="","-",+C2034+1)</f>
        <v>2064</v>
      </c>
      <c r="D2035" s="506">
        <f t="shared" si="149"/>
        <v>0</v>
      </c>
      <c r="E2035" s="549">
        <f t="shared" si="154"/>
        <v>0</v>
      </c>
      <c r="F2035" s="506">
        <f t="shared" si="150"/>
        <v>0</v>
      </c>
      <c r="G2035" s="554">
        <f t="shared" si="151"/>
        <v>0</v>
      </c>
      <c r="H2035" s="555">
        <f t="shared" si="152"/>
        <v>0</v>
      </c>
      <c r="I2035" s="552">
        <f t="shared" si="153"/>
        <v>0</v>
      </c>
      <c r="J2035" s="552"/>
      <c r="K2035" s="572"/>
      <c r="L2035" s="556"/>
      <c r="M2035" s="572"/>
      <c r="N2035" s="556"/>
      <c r="O2035" s="556"/>
    </row>
    <row r="2036" spans="3:15">
      <c r="C2036" s="548">
        <f>IF(D1984="","-",+C2035+1)</f>
        <v>2065</v>
      </c>
      <c r="D2036" s="506">
        <f t="shared" si="149"/>
        <v>0</v>
      </c>
      <c r="E2036" s="549">
        <f t="shared" si="154"/>
        <v>0</v>
      </c>
      <c r="F2036" s="506">
        <f t="shared" si="150"/>
        <v>0</v>
      </c>
      <c r="G2036" s="554">
        <f t="shared" si="151"/>
        <v>0</v>
      </c>
      <c r="H2036" s="555">
        <f t="shared" si="152"/>
        <v>0</v>
      </c>
      <c r="I2036" s="552">
        <f t="shared" si="153"/>
        <v>0</v>
      </c>
      <c r="J2036" s="552"/>
      <c r="K2036" s="572"/>
      <c r="L2036" s="556"/>
      <c r="M2036" s="572"/>
      <c r="N2036" s="556"/>
      <c r="O2036" s="556"/>
    </row>
    <row r="2037" spans="3:15">
      <c r="C2037" s="548">
        <f>IF(D1984="","-",+C2036+1)</f>
        <v>2066</v>
      </c>
      <c r="D2037" s="506">
        <f t="shared" si="149"/>
        <v>0</v>
      </c>
      <c r="E2037" s="549">
        <f t="shared" si="154"/>
        <v>0</v>
      </c>
      <c r="F2037" s="506">
        <f t="shared" si="150"/>
        <v>0</v>
      </c>
      <c r="G2037" s="554">
        <f t="shared" si="151"/>
        <v>0</v>
      </c>
      <c r="H2037" s="555">
        <f t="shared" si="152"/>
        <v>0</v>
      </c>
      <c r="I2037" s="552">
        <f t="shared" si="153"/>
        <v>0</v>
      </c>
      <c r="J2037" s="552"/>
      <c r="K2037" s="572"/>
      <c r="L2037" s="556"/>
      <c r="M2037" s="572"/>
      <c r="N2037" s="556"/>
      <c r="O2037" s="556"/>
    </row>
    <row r="2038" spans="3:15">
      <c r="C2038" s="548">
        <f>IF(D1984="","-",+C2037+1)</f>
        <v>2067</v>
      </c>
      <c r="D2038" s="506">
        <f t="shared" si="149"/>
        <v>0</v>
      </c>
      <c r="E2038" s="549">
        <f t="shared" si="154"/>
        <v>0</v>
      </c>
      <c r="F2038" s="506">
        <f t="shared" si="150"/>
        <v>0</v>
      </c>
      <c r="G2038" s="554">
        <f t="shared" si="151"/>
        <v>0</v>
      </c>
      <c r="H2038" s="555">
        <f t="shared" si="152"/>
        <v>0</v>
      </c>
      <c r="I2038" s="552">
        <f t="shared" si="153"/>
        <v>0</v>
      </c>
      <c r="J2038" s="552"/>
      <c r="K2038" s="572"/>
      <c r="L2038" s="556"/>
      <c r="M2038" s="572"/>
      <c r="N2038" s="556"/>
      <c r="O2038" s="556"/>
    </row>
    <row r="2039" spans="3:15">
      <c r="C2039" s="548">
        <f>IF(D1984="","-",+C2038+1)</f>
        <v>2068</v>
      </c>
      <c r="D2039" s="506">
        <f t="shared" si="149"/>
        <v>0</v>
      </c>
      <c r="E2039" s="549">
        <f t="shared" si="154"/>
        <v>0</v>
      </c>
      <c r="F2039" s="506">
        <f t="shared" si="150"/>
        <v>0</v>
      </c>
      <c r="G2039" s="554">
        <f t="shared" si="151"/>
        <v>0</v>
      </c>
      <c r="H2039" s="555">
        <f t="shared" si="152"/>
        <v>0</v>
      </c>
      <c r="I2039" s="552">
        <f t="shared" si="153"/>
        <v>0</v>
      </c>
      <c r="J2039" s="552"/>
      <c r="K2039" s="572"/>
      <c r="L2039" s="556"/>
      <c r="M2039" s="572"/>
      <c r="N2039" s="556"/>
      <c r="O2039" s="556"/>
    </row>
    <row r="2040" spans="3:15">
      <c r="C2040" s="548">
        <f>IF(D1984="","-",+C2039+1)</f>
        <v>2069</v>
      </c>
      <c r="D2040" s="506">
        <f t="shared" si="149"/>
        <v>0</v>
      </c>
      <c r="E2040" s="549">
        <f t="shared" si="154"/>
        <v>0</v>
      </c>
      <c r="F2040" s="506">
        <f t="shared" si="150"/>
        <v>0</v>
      </c>
      <c r="G2040" s="554">
        <f t="shared" si="151"/>
        <v>0</v>
      </c>
      <c r="H2040" s="555">
        <f t="shared" si="152"/>
        <v>0</v>
      </c>
      <c r="I2040" s="552">
        <f t="shared" si="153"/>
        <v>0</v>
      </c>
      <c r="J2040" s="552"/>
      <c r="K2040" s="572"/>
      <c r="L2040" s="556"/>
      <c r="M2040" s="572"/>
      <c r="N2040" s="556"/>
      <c r="O2040" s="556"/>
    </row>
    <row r="2041" spans="3:15">
      <c r="C2041" s="548">
        <f>IF(D1984="","-",+C2040+1)</f>
        <v>2070</v>
      </c>
      <c r="D2041" s="506">
        <f t="shared" si="149"/>
        <v>0</v>
      </c>
      <c r="E2041" s="549">
        <f t="shared" si="154"/>
        <v>0</v>
      </c>
      <c r="F2041" s="506">
        <f t="shared" si="150"/>
        <v>0</v>
      </c>
      <c r="G2041" s="554">
        <f t="shared" si="151"/>
        <v>0</v>
      </c>
      <c r="H2041" s="555">
        <f t="shared" si="152"/>
        <v>0</v>
      </c>
      <c r="I2041" s="552">
        <f t="shared" si="153"/>
        <v>0</v>
      </c>
      <c r="J2041" s="552"/>
      <c r="K2041" s="572"/>
      <c r="L2041" s="556"/>
      <c r="M2041" s="572"/>
      <c r="N2041" s="556"/>
      <c r="O2041" s="556"/>
    </row>
    <row r="2042" spans="3:15">
      <c r="C2042" s="548">
        <f>IF(D1984="","-",+C2041+1)</f>
        <v>2071</v>
      </c>
      <c r="D2042" s="506">
        <f t="shared" si="149"/>
        <v>0</v>
      </c>
      <c r="E2042" s="549">
        <f t="shared" si="154"/>
        <v>0</v>
      </c>
      <c r="F2042" s="506">
        <f t="shared" si="150"/>
        <v>0</v>
      </c>
      <c r="G2042" s="554">
        <f t="shared" si="151"/>
        <v>0</v>
      </c>
      <c r="H2042" s="555">
        <f t="shared" si="152"/>
        <v>0</v>
      </c>
      <c r="I2042" s="552">
        <f t="shared" si="153"/>
        <v>0</v>
      </c>
      <c r="J2042" s="552"/>
      <c r="K2042" s="572"/>
      <c r="L2042" s="556"/>
      <c r="M2042" s="572"/>
      <c r="N2042" s="556"/>
      <c r="O2042" s="556"/>
    </row>
    <row r="2043" spans="3:15">
      <c r="C2043" s="548">
        <f>IF(D1984="","-",+C2042+1)</f>
        <v>2072</v>
      </c>
      <c r="D2043" s="506">
        <f t="shared" si="149"/>
        <v>0</v>
      </c>
      <c r="E2043" s="549">
        <f t="shared" si="154"/>
        <v>0</v>
      </c>
      <c r="F2043" s="506">
        <f t="shared" si="150"/>
        <v>0</v>
      </c>
      <c r="G2043" s="554">
        <f t="shared" si="151"/>
        <v>0</v>
      </c>
      <c r="H2043" s="555">
        <f t="shared" si="152"/>
        <v>0</v>
      </c>
      <c r="I2043" s="552">
        <f t="shared" si="153"/>
        <v>0</v>
      </c>
      <c r="J2043" s="552"/>
      <c r="K2043" s="572"/>
      <c r="L2043" s="556"/>
      <c r="M2043" s="572"/>
      <c r="N2043" s="556"/>
      <c r="O2043" s="556"/>
    </row>
    <row r="2044" spans="3:15">
      <c r="C2044" s="548">
        <f>IF(D1984="","-",+C2043+1)</f>
        <v>2073</v>
      </c>
      <c r="D2044" s="506">
        <f t="shared" si="149"/>
        <v>0</v>
      </c>
      <c r="E2044" s="549">
        <f t="shared" si="154"/>
        <v>0</v>
      </c>
      <c r="F2044" s="506">
        <f t="shared" si="150"/>
        <v>0</v>
      </c>
      <c r="G2044" s="554">
        <f t="shared" si="151"/>
        <v>0</v>
      </c>
      <c r="H2044" s="555">
        <f t="shared" si="152"/>
        <v>0</v>
      </c>
      <c r="I2044" s="552">
        <f t="shared" si="153"/>
        <v>0</v>
      </c>
      <c r="J2044" s="552"/>
      <c r="K2044" s="572"/>
      <c r="L2044" s="556"/>
      <c r="M2044" s="572"/>
      <c r="N2044" s="556"/>
      <c r="O2044" s="556"/>
    </row>
    <row r="2045" spans="3:15">
      <c r="C2045" s="548">
        <f>IF(D1984="","-",+C2044+1)</f>
        <v>2074</v>
      </c>
      <c r="D2045" s="506">
        <f t="shared" si="149"/>
        <v>0</v>
      </c>
      <c r="E2045" s="549">
        <f t="shared" si="154"/>
        <v>0</v>
      </c>
      <c r="F2045" s="506">
        <f t="shared" si="150"/>
        <v>0</v>
      </c>
      <c r="G2045" s="554">
        <f t="shared" si="151"/>
        <v>0</v>
      </c>
      <c r="H2045" s="555">
        <f t="shared" si="152"/>
        <v>0</v>
      </c>
      <c r="I2045" s="552">
        <f t="shared" si="153"/>
        <v>0</v>
      </c>
      <c r="J2045" s="552"/>
      <c r="K2045" s="572"/>
      <c r="L2045" s="556"/>
      <c r="M2045" s="572"/>
      <c r="N2045" s="556"/>
      <c r="O2045" s="556"/>
    </row>
    <row r="2046" spans="3:15">
      <c r="C2046" s="548">
        <f>IF(D1984="","-",+C2045+1)</f>
        <v>2075</v>
      </c>
      <c r="D2046" s="506">
        <f t="shared" si="149"/>
        <v>0</v>
      </c>
      <c r="E2046" s="549">
        <f t="shared" si="154"/>
        <v>0</v>
      </c>
      <c r="F2046" s="506">
        <f t="shared" si="150"/>
        <v>0</v>
      </c>
      <c r="G2046" s="554">
        <f t="shared" si="151"/>
        <v>0</v>
      </c>
      <c r="H2046" s="555">
        <f t="shared" si="152"/>
        <v>0</v>
      </c>
      <c r="I2046" s="552">
        <f t="shared" si="153"/>
        <v>0</v>
      </c>
      <c r="J2046" s="552"/>
      <c r="K2046" s="572"/>
      <c r="L2046" s="556"/>
      <c r="M2046" s="572"/>
      <c r="N2046" s="556"/>
      <c r="O2046" s="556"/>
    </row>
    <row r="2047" spans="3:15">
      <c r="C2047" s="548">
        <f>IF(D1984="","-",+C2046+1)</f>
        <v>2076</v>
      </c>
      <c r="D2047" s="506">
        <f t="shared" si="149"/>
        <v>0</v>
      </c>
      <c r="E2047" s="549">
        <f t="shared" si="154"/>
        <v>0</v>
      </c>
      <c r="F2047" s="506">
        <f t="shared" si="150"/>
        <v>0</v>
      </c>
      <c r="G2047" s="554">
        <f t="shared" si="151"/>
        <v>0</v>
      </c>
      <c r="H2047" s="555">
        <f t="shared" si="152"/>
        <v>0</v>
      </c>
      <c r="I2047" s="552">
        <f t="shared" si="153"/>
        <v>0</v>
      </c>
      <c r="J2047" s="552"/>
      <c r="K2047" s="572"/>
      <c r="L2047" s="556"/>
      <c r="M2047" s="572"/>
      <c r="N2047" s="556"/>
      <c r="O2047" s="556"/>
    </row>
    <row r="2048" spans="3:15">
      <c r="C2048" s="548">
        <f>IF(D1984="","-",+C2047+1)</f>
        <v>2077</v>
      </c>
      <c r="D2048" s="506">
        <f t="shared" si="149"/>
        <v>0</v>
      </c>
      <c r="E2048" s="549">
        <f t="shared" si="154"/>
        <v>0</v>
      </c>
      <c r="F2048" s="506">
        <f t="shared" si="150"/>
        <v>0</v>
      </c>
      <c r="G2048" s="554">
        <f t="shared" si="151"/>
        <v>0</v>
      </c>
      <c r="H2048" s="555">
        <f t="shared" si="152"/>
        <v>0</v>
      </c>
      <c r="I2048" s="552">
        <f t="shared" si="153"/>
        <v>0</v>
      </c>
      <c r="J2048" s="552"/>
      <c r="K2048" s="572"/>
      <c r="L2048" s="556"/>
      <c r="M2048" s="572"/>
      <c r="N2048" s="556"/>
      <c r="O2048" s="556"/>
    </row>
    <row r="2049" spans="3:15" ht="13.5" thickBot="1">
      <c r="C2049" s="558">
        <f>IF(D1984="","-",+C2048+1)</f>
        <v>2078</v>
      </c>
      <c r="D2049" s="559">
        <f t="shared" si="149"/>
        <v>0</v>
      </c>
      <c r="E2049" s="560">
        <f t="shared" si="154"/>
        <v>0</v>
      </c>
      <c r="F2049" s="559">
        <f t="shared" si="150"/>
        <v>0</v>
      </c>
      <c r="G2049" s="561">
        <f t="shared" si="151"/>
        <v>0</v>
      </c>
      <c r="H2049" s="561">
        <f t="shared" si="152"/>
        <v>0</v>
      </c>
      <c r="I2049" s="562">
        <f t="shared" si="153"/>
        <v>0</v>
      </c>
      <c r="J2049" s="552"/>
      <c r="K2049" s="573"/>
      <c r="L2049" s="563"/>
      <c r="M2049" s="573"/>
      <c r="N2049" s="563"/>
      <c r="O2049" s="563"/>
    </row>
    <row r="2050" spans="3:15">
      <c r="C2050" s="506" t="s">
        <v>83</v>
      </c>
      <c r="D2050" s="503"/>
      <c r="E2050" s="503">
        <f>SUM(E1990:E2049)</f>
        <v>20354072.760000002</v>
      </c>
      <c r="F2050" s="503"/>
      <c r="G2050" s="503">
        <f>SUM(G1990:G2049)</f>
        <v>73471054.64200139</v>
      </c>
      <c r="H2050" s="503">
        <f>SUM(H1990:H2049)</f>
        <v>73471054.64200139</v>
      </c>
      <c r="I2050" s="503">
        <f>SUM(I1990:I2049)</f>
        <v>0</v>
      </c>
      <c r="J2050" s="503"/>
      <c r="K2050" s="503"/>
      <c r="L2050" s="503"/>
      <c r="M2050" s="503"/>
      <c r="N2050" s="503"/>
      <c r="O2050" s="3"/>
    </row>
    <row r="2051" spans="3:15">
      <c r="D2051" s="47"/>
      <c r="E2051" s="3"/>
      <c r="F2051" s="3"/>
      <c r="G2051" s="3"/>
      <c r="H2051" s="490"/>
      <c r="I2051" s="490"/>
      <c r="J2051" s="503"/>
      <c r="K2051" s="490"/>
      <c r="L2051" s="490"/>
      <c r="M2051" s="490"/>
      <c r="N2051" s="490"/>
      <c r="O2051" s="3"/>
    </row>
    <row r="2052" spans="3:15">
      <c r="C2052" s="3" t="s">
        <v>13</v>
      </c>
      <c r="D2052" s="47"/>
      <c r="E2052" s="3"/>
      <c r="F2052" s="3"/>
      <c r="G2052" s="3"/>
      <c r="H2052" s="490"/>
      <c r="I2052" s="490"/>
      <c r="J2052" s="503"/>
      <c r="K2052" s="490"/>
      <c r="L2052" s="490"/>
      <c r="M2052" s="490"/>
      <c r="N2052" s="490"/>
      <c r="O2052" s="3"/>
    </row>
    <row r="2053" spans="3:15">
      <c r="C2053" s="3"/>
      <c r="D2053" s="47"/>
      <c r="E2053" s="3"/>
      <c r="F2053" s="3"/>
      <c r="G2053" s="3"/>
      <c r="H2053" s="490"/>
      <c r="I2053" s="490"/>
      <c r="J2053" s="503"/>
      <c r="K2053" s="490"/>
      <c r="L2053" s="490"/>
      <c r="M2053" s="490"/>
      <c r="N2053" s="490"/>
      <c r="O2053" s="3"/>
    </row>
    <row r="2054" spans="3:15">
      <c r="C2054" s="518" t="s">
        <v>14</v>
      </c>
      <c r="D2054" s="506"/>
      <c r="E2054" s="506"/>
      <c r="F2054" s="506"/>
      <c r="G2054" s="503"/>
      <c r="H2054" s="503"/>
      <c r="I2054" s="564"/>
      <c r="J2054" s="564"/>
      <c r="K2054" s="564"/>
      <c r="L2054" s="564"/>
      <c r="M2054" s="564"/>
      <c r="N2054" s="564"/>
      <c r="O2054" s="3"/>
    </row>
    <row r="2055" spans="3:15">
      <c r="C2055" s="507" t="s">
        <v>263</v>
      </c>
      <c r="D2055" s="506"/>
      <c r="E2055" s="506"/>
      <c r="F2055" s="506"/>
      <c r="G2055" s="503"/>
      <c r="H2055" s="503"/>
      <c r="I2055" s="564"/>
      <c r="J2055" s="564"/>
      <c r="K2055" s="564"/>
      <c r="L2055" s="564"/>
      <c r="M2055" s="564"/>
      <c r="N2055" s="564"/>
      <c r="O2055" s="3"/>
    </row>
    <row r="2056" spans="3:15">
      <c r="C2056" s="507" t="s">
        <v>84</v>
      </c>
      <c r="D2056" s="506"/>
      <c r="E2056" s="506"/>
      <c r="F2056" s="506"/>
      <c r="G2056" s="503"/>
      <c r="H2056" s="503"/>
      <c r="I2056" s="564"/>
      <c r="J2056" s="564"/>
      <c r="K2056" s="564"/>
      <c r="L2056" s="564"/>
      <c r="M2056" s="564"/>
      <c r="N2056" s="564"/>
      <c r="O2056" s="3"/>
    </row>
    <row r="2057" spans="3:15">
      <c r="C2057" s="507"/>
      <c r="D2057" s="506"/>
      <c r="E2057" s="506"/>
      <c r="F2057" s="506"/>
      <c r="G2057" s="503"/>
      <c r="H2057" s="503"/>
      <c r="I2057" s="564"/>
      <c r="J2057" s="564"/>
      <c r="K2057" s="564"/>
      <c r="L2057" s="564"/>
      <c r="M2057" s="564"/>
      <c r="N2057" s="564"/>
      <c r="O2057" s="3"/>
    </row>
    <row r="2058" spans="3:15">
      <c r="C2058" s="1200" t="s">
        <v>6</v>
      </c>
      <c r="D2058" s="1200"/>
      <c r="E2058" s="1200"/>
      <c r="F2058" s="1200"/>
      <c r="G2058" s="1200"/>
      <c r="H2058" s="1200"/>
      <c r="I2058" s="1200"/>
      <c r="J2058" s="1200"/>
      <c r="K2058" s="1200"/>
      <c r="L2058" s="1200"/>
      <c r="M2058" s="1200"/>
      <c r="N2058" s="1200"/>
      <c r="O2058" s="1200"/>
    </row>
    <row r="2059" spans="3:15">
      <c r="C2059" s="1200"/>
      <c r="D2059" s="1200"/>
      <c r="E2059" s="1200"/>
      <c r="F2059" s="1200"/>
      <c r="G2059" s="1200"/>
      <c r="H2059" s="1200"/>
      <c r="I2059" s="1200"/>
      <c r="J2059" s="1200"/>
      <c r="K2059" s="1200"/>
      <c r="L2059" s="1200"/>
      <c r="M2059" s="1200"/>
      <c r="N2059" s="1200"/>
      <c r="O2059" s="1200"/>
    </row>
  </sheetData>
  <mergeCells count="73">
    <mergeCell ref="D1979:I1979"/>
    <mergeCell ref="K1983:O1983"/>
    <mergeCell ref="C2058:O2059"/>
    <mergeCell ref="D1800:I1800"/>
    <mergeCell ref="K1804:O1804"/>
    <mergeCell ref="C1879:O1880"/>
    <mergeCell ref="D1890:I1890"/>
    <mergeCell ref="K1894:O1894"/>
    <mergeCell ref="C1969:O1970"/>
    <mergeCell ref="C1789:O1790"/>
    <mergeCell ref="K1444:O1444"/>
    <mergeCell ref="C1519:O1520"/>
    <mergeCell ref="K1534:O1534"/>
    <mergeCell ref="C1609:O1610"/>
    <mergeCell ref="D1620:I1620"/>
    <mergeCell ref="K1624:O1624"/>
    <mergeCell ref="C1699:O1700"/>
    <mergeCell ref="D1710:I1710"/>
    <mergeCell ref="K1714:O1714"/>
    <mergeCell ref="D1440:I1441"/>
    <mergeCell ref="D1530:I1531"/>
    <mergeCell ref="K1354:O1354"/>
    <mergeCell ref="C1429:O1430"/>
    <mergeCell ref="D540:I541"/>
    <mergeCell ref="D630:I631"/>
    <mergeCell ref="D1260:I1261"/>
    <mergeCell ref="D1350:I1351"/>
    <mergeCell ref="D1170:I1170"/>
    <mergeCell ref="K1174:O1174"/>
    <mergeCell ref="C1249:O1250"/>
    <mergeCell ref="K1264:O1264"/>
    <mergeCell ref="C1339:O1340"/>
    <mergeCell ref="D990:I990"/>
    <mergeCell ref="K994:O994"/>
    <mergeCell ref="C1069:O1070"/>
    <mergeCell ref="D1080:I1080"/>
    <mergeCell ref="K1084:O1084"/>
    <mergeCell ref="C1159:O1160"/>
    <mergeCell ref="D900:I900"/>
    <mergeCell ref="K904:O904"/>
    <mergeCell ref="C979:O980"/>
    <mergeCell ref="C889:O890"/>
    <mergeCell ref="K544:O544"/>
    <mergeCell ref="C619:O620"/>
    <mergeCell ref="K634:O634"/>
    <mergeCell ref="C709:O710"/>
    <mergeCell ref="D720:I720"/>
    <mergeCell ref="K724:O724"/>
    <mergeCell ref="C799:O800"/>
    <mergeCell ref="D810:I810"/>
    <mergeCell ref="K814:O814"/>
    <mergeCell ref="K364:O364"/>
    <mergeCell ref="C439:O440"/>
    <mergeCell ref="D450:I450"/>
    <mergeCell ref="K454:O454"/>
    <mergeCell ref="C529:O530"/>
    <mergeCell ref="D360:I361"/>
    <mergeCell ref="D180:I180"/>
    <mergeCell ref="K184:O184"/>
    <mergeCell ref="C259:O260"/>
    <mergeCell ref="D270:I270"/>
    <mergeCell ref="K274:O274"/>
    <mergeCell ref="C349:O350"/>
    <mergeCell ref="D90:I90"/>
    <mergeCell ref="C169:O170"/>
    <mergeCell ref="K94:O94"/>
    <mergeCell ref="A3:O3"/>
    <mergeCell ref="C11:H12"/>
    <mergeCell ref="A4:O4"/>
    <mergeCell ref="A5:O5"/>
    <mergeCell ref="A6:O6"/>
    <mergeCell ref="I77:O80"/>
    <mergeCell ref="K22:O23"/>
  </mergeCells>
  <phoneticPr fontId="0" type="noConversion"/>
  <conditionalFormatting sqref="C101:C160">
    <cfRule type="cellIs" dxfId="30" priority="41" stopIfTrue="1" operator="equal">
      <formula>$I$92</formula>
    </cfRule>
  </conditionalFormatting>
  <conditionalFormatting sqref="C191:C250">
    <cfRule type="cellIs" dxfId="29" priority="20" stopIfTrue="1" operator="equal">
      <formula>$I$92</formula>
    </cfRule>
  </conditionalFormatting>
  <conditionalFormatting sqref="C281:C340">
    <cfRule type="cellIs" dxfId="28" priority="19" stopIfTrue="1" operator="equal">
      <formula>$I$92</formula>
    </cfRule>
  </conditionalFormatting>
  <conditionalFormatting sqref="C371:C430">
    <cfRule type="cellIs" dxfId="27" priority="18" stopIfTrue="1" operator="equal">
      <formula>$I$92</formula>
    </cfRule>
  </conditionalFormatting>
  <conditionalFormatting sqref="C461:C520">
    <cfRule type="cellIs" dxfId="26" priority="17" stopIfTrue="1" operator="equal">
      <formula>$I$92</formula>
    </cfRule>
  </conditionalFormatting>
  <conditionalFormatting sqref="C551:C610">
    <cfRule type="cellIs" dxfId="25" priority="16" stopIfTrue="1" operator="equal">
      <formula>$I$92</formula>
    </cfRule>
  </conditionalFormatting>
  <conditionalFormatting sqref="C641:C700">
    <cfRule type="cellIs" dxfId="24" priority="15" stopIfTrue="1" operator="equal">
      <formula>$I$92</formula>
    </cfRule>
  </conditionalFormatting>
  <conditionalFormatting sqref="C731:C790">
    <cfRule type="cellIs" dxfId="23" priority="14" stopIfTrue="1" operator="equal">
      <formula>$I$92</formula>
    </cfRule>
  </conditionalFormatting>
  <conditionalFormatting sqref="C821:C880">
    <cfRule type="cellIs" dxfId="22" priority="13" stopIfTrue="1" operator="equal">
      <formula>$I$92</formula>
    </cfRule>
  </conditionalFormatting>
  <conditionalFormatting sqref="C911:C970">
    <cfRule type="cellIs" dxfId="21" priority="12" stopIfTrue="1" operator="equal">
      <formula>$I$92</formula>
    </cfRule>
  </conditionalFormatting>
  <conditionalFormatting sqref="C1001:C1060">
    <cfRule type="cellIs" dxfId="20" priority="11" stopIfTrue="1" operator="equal">
      <formula>$I$92</formula>
    </cfRule>
  </conditionalFormatting>
  <conditionalFormatting sqref="C1091:C1150">
    <cfRule type="cellIs" dxfId="19" priority="10" stopIfTrue="1" operator="equal">
      <formula>$I$92</formula>
    </cfRule>
  </conditionalFormatting>
  <conditionalFormatting sqref="C1181:C1240">
    <cfRule type="cellIs" dxfId="18" priority="9" stopIfTrue="1" operator="equal">
      <formula>$I$92</formula>
    </cfRule>
  </conditionalFormatting>
  <conditionalFormatting sqref="C1271:C1330">
    <cfRule type="cellIs" dxfId="17" priority="8" stopIfTrue="1" operator="equal">
      <formula>$I$92</formula>
    </cfRule>
  </conditionalFormatting>
  <conditionalFormatting sqref="C1361:C1420">
    <cfRule type="cellIs" dxfId="16" priority="7" stopIfTrue="1" operator="equal">
      <formula>$I$92</formula>
    </cfRule>
  </conditionalFormatting>
  <conditionalFormatting sqref="C1451:C1510">
    <cfRule type="cellIs" dxfId="15" priority="6" stopIfTrue="1" operator="equal">
      <formula>$I$92</formula>
    </cfRule>
  </conditionalFormatting>
  <conditionalFormatting sqref="C1541:C1600">
    <cfRule type="cellIs" dxfId="14" priority="183" stopIfTrue="1" operator="equal">
      <formula>$I$92</formula>
    </cfRule>
  </conditionalFormatting>
  <conditionalFormatting sqref="C1631:C1690">
    <cfRule type="cellIs" dxfId="13" priority="5" stopIfTrue="1" operator="equal">
      <formula>$I$92</formula>
    </cfRule>
  </conditionalFormatting>
  <conditionalFormatting sqref="C1721:C1780">
    <cfRule type="cellIs" dxfId="12" priority="4" stopIfTrue="1" operator="equal">
      <formula>$I$92</formula>
    </cfRule>
  </conditionalFormatting>
  <conditionalFormatting sqref="C1811:C1870">
    <cfRule type="cellIs" dxfId="11" priority="3" stopIfTrue="1" operator="equal">
      <formula>$I$92</formula>
    </cfRule>
  </conditionalFormatting>
  <conditionalFormatting sqref="C1901:C1960">
    <cfRule type="cellIs" dxfId="10" priority="2" stopIfTrue="1" operator="equal">
      <formula>$I$92</formula>
    </cfRule>
  </conditionalFormatting>
  <conditionalFormatting sqref="C1990:C2049">
    <cfRule type="cellIs" dxfId="9" priority="1" stopIfTrue="1" operator="equal">
      <formula>$I$92</formula>
    </cfRule>
  </conditionalFormatting>
  <pageMargins left="0.25" right="0.25" top="1" bottom="1" header="0.75" footer="0.5"/>
  <pageSetup scale="38" orientation="landscape" r:id="rId1"/>
  <headerFooter alignWithMargins="0">
    <oddHeader>&amp;R&amp;"Arial,Bold"Formula Rate 
&amp;A
Page &amp;P of &amp;N</oddHeader>
  </headerFooter>
  <rowBreaks count="22" manualBreakCount="22">
    <brk id="80" max="14" man="1"/>
    <brk id="171" max="14" man="1"/>
    <brk id="261" max="14" man="1"/>
    <brk id="351" max="14" man="1"/>
    <brk id="441" max="14" man="1"/>
    <brk id="531" max="14" man="1"/>
    <brk id="621" max="14" man="1"/>
    <brk id="711" max="14" man="1"/>
    <brk id="801" max="14" man="1"/>
    <brk id="891" max="14" man="1"/>
    <brk id="981" max="14" man="1"/>
    <brk id="1071" max="14" man="1"/>
    <brk id="1161" max="14" man="1"/>
    <brk id="1251" max="14" man="1"/>
    <brk id="1341" max="14" man="1"/>
    <brk id="1431" max="14" man="1"/>
    <brk id="1521" max="14" man="1"/>
    <brk id="1611" max="14" man="1"/>
    <brk id="1701" max="14" man="1"/>
    <brk id="1791" max="14" man="1"/>
    <brk id="1881" max="14" man="1"/>
    <brk id="1970"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B1:L57"/>
  <sheetViews>
    <sheetView view="pageBreakPreview" zoomScale="60" zoomScaleNormal="100" workbookViewId="0">
      <selection activeCell="G15" sqref="G15"/>
    </sheetView>
  </sheetViews>
  <sheetFormatPr defaultRowHeight="12.75"/>
  <cols>
    <col min="2" max="2" width="36" customWidth="1"/>
    <col min="5" max="5" width="27.28515625" customWidth="1"/>
    <col min="7" max="7" width="16.7109375" customWidth="1"/>
    <col min="8" max="8" width="11.7109375" customWidth="1"/>
    <col min="9" max="9" width="27.28515625" customWidth="1"/>
    <col min="10" max="10" width="17.42578125" customWidth="1"/>
    <col min="12" max="12" width="24" customWidth="1"/>
  </cols>
  <sheetData>
    <row r="1" spans="2:12" ht="15.75">
      <c r="B1" s="1207" t="s">
        <v>825</v>
      </c>
      <c r="C1" s="1207"/>
      <c r="D1" s="1207"/>
      <c r="E1" s="1207"/>
      <c r="F1" s="1207"/>
      <c r="G1" s="1207"/>
      <c r="H1" s="1207"/>
      <c r="I1" s="1207"/>
      <c r="J1" s="1207"/>
      <c r="K1" s="1207"/>
      <c r="L1" s="1207"/>
    </row>
    <row r="2" spans="2:12" ht="15.75">
      <c r="B2" s="1208" t="s">
        <v>555</v>
      </c>
      <c r="C2" s="1208"/>
      <c r="D2" s="1208"/>
      <c r="E2" s="1208"/>
      <c r="F2" s="1208"/>
      <c r="G2" s="1208"/>
      <c r="H2" s="1208"/>
      <c r="I2" s="1208"/>
      <c r="J2" s="1208"/>
      <c r="K2" s="1208"/>
      <c r="L2" s="1208"/>
    </row>
    <row r="3" spans="2:12" ht="15.75">
      <c r="B3" s="1208" t="s">
        <v>585</v>
      </c>
      <c r="C3" s="1208"/>
      <c r="D3" s="1208"/>
      <c r="E3" s="1208"/>
      <c r="F3" s="1208"/>
      <c r="G3" s="1208"/>
      <c r="H3" s="1208"/>
      <c r="I3" s="1208"/>
      <c r="J3" s="1208"/>
      <c r="K3" s="1208"/>
      <c r="L3" s="1208"/>
    </row>
    <row r="4" spans="2:12" ht="15.75">
      <c r="B4" s="132"/>
      <c r="C4" s="132"/>
      <c r="D4" s="132"/>
      <c r="E4" s="1208"/>
      <c r="F4" s="1208"/>
      <c r="G4" s="1208"/>
      <c r="H4" s="1208"/>
      <c r="I4" s="132"/>
      <c r="J4" s="132"/>
      <c r="K4" s="132"/>
      <c r="L4" s="132"/>
    </row>
    <row r="7" spans="2:12" ht="16.5" thickBot="1">
      <c r="B7" s="649"/>
      <c r="C7" s="650"/>
      <c r="D7" s="650"/>
      <c r="E7" s="650"/>
      <c r="F7" s="650"/>
      <c r="G7" s="650"/>
      <c r="H7" s="650"/>
      <c r="I7" s="650"/>
      <c r="J7" s="650"/>
      <c r="K7" s="650"/>
      <c r="L7" s="650"/>
    </row>
    <row r="8" spans="2:12" ht="46.5" customHeight="1">
      <c r="B8" s="651" t="str">
        <f>'WS R Interest'!B8</f>
        <v>Reconciliation Revenue Requirement For Year 2024 Available May 25, 2025</v>
      </c>
      <c r="C8" s="650"/>
      <c r="D8" s="650"/>
      <c r="E8" s="651" t="s">
        <v>1004</v>
      </c>
      <c r="F8" s="650"/>
      <c r="G8" s="650"/>
      <c r="H8" s="132"/>
      <c r="I8" s="651" t="s">
        <v>557</v>
      </c>
      <c r="J8" s="132"/>
      <c r="K8" s="132"/>
      <c r="L8" s="132"/>
    </row>
    <row r="9" spans="2:12" ht="15.75">
      <c r="B9" s="652" t="s">
        <v>406</v>
      </c>
      <c r="C9" s="650"/>
      <c r="D9" s="650"/>
      <c r="E9" s="652"/>
      <c r="F9" s="650"/>
      <c r="G9" s="650"/>
      <c r="H9" s="132"/>
      <c r="I9" s="653"/>
      <c r="J9" s="132"/>
      <c r="K9" s="132"/>
      <c r="L9" s="132"/>
    </row>
    <row r="10" spans="2:12" ht="16.5" thickBot="1">
      <c r="B10" s="648">
        <v>1260623.25</v>
      </c>
      <c r="C10" s="654" t="str">
        <f>"-"</f>
        <v>-</v>
      </c>
      <c r="D10" s="655"/>
      <c r="E10" s="648">
        <v>1236358.7431771713</v>
      </c>
      <c r="F10" s="656"/>
      <c r="G10" s="657" t="str">
        <f>"="</f>
        <v>=</v>
      </c>
      <c r="H10" s="658"/>
      <c r="I10" s="659">
        <f>IF(B10=0,0,E10-B10)</f>
        <v>-24264.506822828669</v>
      </c>
      <c r="J10" s="132"/>
      <c r="K10" s="132"/>
      <c r="L10" s="132"/>
    </row>
    <row r="11" spans="2:12" ht="15.75">
      <c r="B11" s="660"/>
      <c r="C11" s="661"/>
      <c r="D11" s="661"/>
      <c r="E11" s="660"/>
      <c r="F11" s="660"/>
      <c r="G11" s="661"/>
      <c r="H11" s="660"/>
      <c r="I11" s="132"/>
      <c r="J11" s="132"/>
      <c r="K11" s="132"/>
      <c r="L11" s="132"/>
    </row>
    <row r="12" spans="2:12" ht="16.5" thickBot="1">
      <c r="B12" s="662"/>
      <c r="C12" s="663"/>
      <c r="D12" s="663"/>
      <c r="E12" s="662"/>
      <c r="F12" s="662"/>
      <c r="G12" s="663"/>
      <c r="H12" s="662"/>
      <c r="I12" s="664"/>
      <c r="J12" s="664"/>
      <c r="K12" s="664"/>
      <c r="L12" s="664"/>
    </row>
    <row r="13" spans="2:12" ht="15.75">
      <c r="B13" s="665"/>
      <c r="C13" s="661"/>
      <c r="D13" s="661"/>
      <c r="E13" s="660"/>
      <c r="F13" s="660"/>
      <c r="G13" s="661"/>
      <c r="H13" s="660"/>
      <c r="I13" s="132"/>
      <c r="J13" s="132"/>
      <c r="K13" s="132"/>
      <c r="L13" s="132"/>
    </row>
    <row r="14" spans="2:12" ht="31.5">
      <c r="B14" s="666" t="s">
        <v>615</v>
      </c>
      <c r="C14" s="661"/>
      <c r="D14" s="661"/>
      <c r="E14" s="667" t="s">
        <v>558</v>
      </c>
      <c r="F14" s="660"/>
      <c r="G14" s="667" t="s">
        <v>559</v>
      </c>
      <c r="H14" s="668" t="s">
        <v>560</v>
      </c>
      <c r="I14" s="669" t="s">
        <v>561</v>
      </c>
      <c r="J14" s="667" t="s">
        <v>562</v>
      </c>
      <c r="K14" s="670"/>
      <c r="L14" s="667" t="s">
        <v>563</v>
      </c>
    </row>
    <row r="15" spans="2:12" ht="15.75">
      <c r="B15" s="666" t="s">
        <v>616</v>
      </c>
      <c r="C15" s="661"/>
      <c r="D15" s="661"/>
      <c r="E15" s="132"/>
      <c r="F15" s="671"/>
      <c r="G15" s="684">
        <v>6.8300000000000001E-3</v>
      </c>
      <c r="I15" s="132"/>
      <c r="J15" s="132"/>
      <c r="K15" s="132"/>
      <c r="L15" s="132"/>
    </row>
    <row r="16" spans="2:12" ht="15.75">
      <c r="B16" s="666"/>
      <c r="C16" s="661"/>
      <c r="D16" s="661"/>
      <c r="E16" s="132"/>
      <c r="F16" s="671"/>
      <c r="G16" s="671"/>
      <c r="H16" s="660"/>
      <c r="I16" s="132"/>
      <c r="J16" s="132"/>
      <c r="K16" s="132"/>
      <c r="L16" s="132"/>
    </row>
    <row r="17" spans="2:12" ht="15.75">
      <c r="B17" s="666" t="str">
        <f>'WS R Schedule 12'!B17</f>
        <v>An over or under collection will be recovered prorata over 2024, held for 2025 and returned prorate over 2026</v>
      </c>
      <c r="C17" s="661"/>
      <c r="D17" s="661"/>
      <c r="E17" s="132"/>
      <c r="F17" s="671"/>
      <c r="G17" s="671"/>
      <c r="H17" s="660"/>
      <c r="I17" s="132"/>
      <c r="J17" s="132"/>
      <c r="K17" s="132"/>
      <c r="L17" s="132"/>
    </row>
    <row r="18" spans="2:12" ht="15.75">
      <c r="B18" s="672" t="s">
        <v>406</v>
      </c>
      <c r="C18" s="661"/>
      <c r="D18" s="661"/>
      <c r="E18" s="661"/>
      <c r="F18" s="661"/>
      <c r="G18" s="661" t="s">
        <v>406</v>
      </c>
      <c r="H18" s="132"/>
      <c r="I18" s="132"/>
      <c r="J18" s="132"/>
      <c r="K18" s="132"/>
      <c r="L18" s="132"/>
    </row>
    <row r="19" spans="2:12" ht="15.75">
      <c r="B19" s="673"/>
      <c r="C19" s="661"/>
      <c r="D19" s="661"/>
      <c r="E19" s="661"/>
      <c r="F19" s="661"/>
      <c r="G19" s="132"/>
      <c r="H19" s="132"/>
      <c r="I19" s="668"/>
      <c r="J19" s="661"/>
      <c r="K19" s="661"/>
      <c r="L19" s="661"/>
    </row>
    <row r="20" spans="2:12" ht="15.75">
      <c r="B20" s="673" t="s">
        <v>564</v>
      </c>
      <c r="C20" s="661"/>
      <c r="D20" s="661"/>
      <c r="E20" s="661"/>
      <c r="F20" s="661"/>
      <c r="G20" s="132"/>
      <c r="H20" s="132"/>
      <c r="I20" s="668" t="s">
        <v>565</v>
      </c>
      <c r="J20" s="661"/>
      <c r="K20" s="661"/>
      <c r="L20" s="661"/>
    </row>
    <row r="21" spans="2:12" ht="15.75">
      <c r="B21" s="650" t="s">
        <v>566</v>
      </c>
      <c r="C21" s="650" t="str">
        <f>"Year "&amp;TCOS!L4-2</f>
        <v>Year 2024</v>
      </c>
      <c r="D21" s="650"/>
      <c r="E21" s="674">
        <f>I10/12</f>
        <v>-2022.0422352357225</v>
      </c>
      <c r="F21" s="674"/>
      <c r="G21" s="675">
        <f>G15</f>
        <v>6.8300000000000001E-3</v>
      </c>
      <c r="H21" s="661">
        <v>12</v>
      </c>
      <c r="I21" s="674">
        <f>G21*E21*H21*-1</f>
        <v>165.72658159991983</v>
      </c>
      <c r="J21" s="674"/>
      <c r="K21" s="674"/>
      <c r="L21" s="674">
        <f>(-I21+E21)*-1</f>
        <v>2187.7688168356422</v>
      </c>
    </row>
    <row r="22" spans="2:12" ht="15.75">
      <c r="B22" s="650" t="s">
        <v>567</v>
      </c>
      <c r="C22" s="650" t="str">
        <f>C21</f>
        <v>Year 2024</v>
      </c>
      <c r="D22" s="650"/>
      <c r="E22" s="674">
        <f>+E21</f>
        <v>-2022.0422352357225</v>
      </c>
      <c r="F22" s="674"/>
      <c r="G22" s="675">
        <f t="shared" ref="G22:G32" si="0">+G21</f>
        <v>6.8300000000000001E-3</v>
      </c>
      <c r="H22" s="661">
        <f t="shared" ref="H22:H32" si="1">+H21-1</f>
        <v>11</v>
      </c>
      <c r="I22" s="674">
        <f t="shared" ref="I22:I32" si="2">G22*E22*H22*-1</f>
        <v>151.91603313325982</v>
      </c>
      <c r="J22" s="674"/>
      <c r="K22" s="674"/>
      <c r="L22" s="674">
        <f t="shared" ref="L22:L32" si="3">(-I22+E22)*-1</f>
        <v>2173.9582683689823</v>
      </c>
    </row>
    <row r="23" spans="2:12" ht="15.75">
      <c r="B23" s="650" t="s">
        <v>568</v>
      </c>
      <c r="C23" s="650" t="str">
        <f>C21</f>
        <v>Year 2024</v>
      </c>
      <c r="D23" s="650"/>
      <c r="E23" s="674">
        <f t="shared" ref="E23:E32" si="4">+E22</f>
        <v>-2022.0422352357225</v>
      </c>
      <c r="F23" s="674"/>
      <c r="G23" s="675">
        <f t="shared" si="0"/>
        <v>6.8300000000000001E-3</v>
      </c>
      <c r="H23" s="661">
        <f t="shared" si="1"/>
        <v>10</v>
      </c>
      <c r="I23" s="674">
        <f t="shared" si="2"/>
        <v>138.10548466659984</v>
      </c>
      <c r="J23" s="674"/>
      <c r="K23" s="674"/>
      <c r="L23" s="674">
        <f t="shared" si="3"/>
        <v>2160.1477199023225</v>
      </c>
    </row>
    <row r="24" spans="2:12" ht="15.75">
      <c r="B24" s="650" t="s">
        <v>569</v>
      </c>
      <c r="C24" s="650" t="str">
        <f>C21</f>
        <v>Year 2024</v>
      </c>
      <c r="D24" s="650"/>
      <c r="E24" s="674">
        <f t="shared" si="4"/>
        <v>-2022.0422352357225</v>
      </c>
      <c r="F24" s="674"/>
      <c r="G24" s="675">
        <f t="shared" si="0"/>
        <v>6.8300000000000001E-3</v>
      </c>
      <c r="H24" s="661">
        <f t="shared" si="1"/>
        <v>9</v>
      </c>
      <c r="I24" s="674">
        <f t="shared" si="2"/>
        <v>124.29493619993985</v>
      </c>
      <c r="J24" s="674"/>
      <c r="K24" s="674"/>
      <c r="L24" s="674">
        <f t="shared" si="3"/>
        <v>2146.3371714356622</v>
      </c>
    </row>
    <row r="25" spans="2:12" ht="15.75">
      <c r="B25" s="650" t="s">
        <v>570</v>
      </c>
      <c r="C25" s="650" t="str">
        <f>C21</f>
        <v>Year 2024</v>
      </c>
      <c r="D25" s="650"/>
      <c r="E25" s="674">
        <f t="shared" si="4"/>
        <v>-2022.0422352357225</v>
      </c>
      <c r="F25" s="674"/>
      <c r="G25" s="675">
        <f t="shared" si="0"/>
        <v>6.8300000000000001E-3</v>
      </c>
      <c r="H25" s="661">
        <f t="shared" si="1"/>
        <v>8</v>
      </c>
      <c r="I25" s="674">
        <f t="shared" si="2"/>
        <v>110.48438773327987</v>
      </c>
      <c r="J25" s="674"/>
      <c r="K25" s="674"/>
      <c r="L25" s="674">
        <f t="shared" si="3"/>
        <v>2132.5266229690023</v>
      </c>
    </row>
    <row r="26" spans="2:12" ht="15.75">
      <c r="B26" s="650" t="s">
        <v>571</v>
      </c>
      <c r="C26" s="650" t="str">
        <f>C21</f>
        <v>Year 2024</v>
      </c>
      <c r="D26" s="650"/>
      <c r="E26" s="674">
        <f t="shared" si="4"/>
        <v>-2022.0422352357225</v>
      </c>
      <c r="F26" s="674"/>
      <c r="G26" s="675">
        <f t="shared" si="0"/>
        <v>6.8300000000000001E-3</v>
      </c>
      <c r="H26" s="661">
        <f t="shared" si="1"/>
        <v>7</v>
      </c>
      <c r="I26" s="674">
        <f t="shared" si="2"/>
        <v>96.673839266619893</v>
      </c>
      <c r="J26" s="674"/>
      <c r="K26" s="674"/>
      <c r="L26" s="674">
        <f t="shared" si="3"/>
        <v>2118.7160745023425</v>
      </c>
    </row>
    <row r="27" spans="2:12" ht="15.75">
      <c r="B27" s="650" t="s">
        <v>572</v>
      </c>
      <c r="C27" s="650" t="str">
        <f>C21</f>
        <v>Year 2024</v>
      </c>
      <c r="D27" s="650"/>
      <c r="E27" s="674">
        <f t="shared" si="4"/>
        <v>-2022.0422352357225</v>
      </c>
      <c r="F27" s="674"/>
      <c r="G27" s="675">
        <f t="shared" si="0"/>
        <v>6.8300000000000001E-3</v>
      </c>
      <c r="H27" s="661">
        <f t="shared" si="1"/>
        <v>6</v>
      </c>
      <c r="I27" s="674">
        <f t="shared" si="2"/>
        <v>82.863290799959913</v>
      </c>
      <c r="J27" s="674"/>
      <c r="K27" s="674"/>
      <c r="L27" s="674">
        <f t="shared" si="3"/>
        <v>2104.9055260356822</v>
      </c>
    </row>
    <row r="28" spans="2:12" ht="15.75">
      <c r="B28" s="650" t="s">
        <v>573</v>
      </c>
      <c r="C28" s="650" t="str">
        <f>C21</f>
        <v>Year 2024</v>
      </c>
      <c r="D28" s="650"/>
      <c r="E28" s="674">
        <f t="shared" si="4"/>
        <v>-2022.0422352357225</v>
      </c>
      <c r="F28" s="674"/>
      <c r="G28" s="675">
        <f t="shared" si="0"/>
        <v>6.8300000000000001E-3</v>
      </c>
      <c r="H28" s="661">
        <f t="shared" si="1"/>
        <v>5</v>
      </c>
      <c r="I28" s="674">
        <f t="shared" si="2"/>
        <v>69.052742333299918</v>
      </c>
      <c r="J28" s="674"/>
      <c r="K28" s="674"/>
      <c r="L28" s="674">
        <f t="shared" si="3"/>
        <v>2091.0949775690224</v>
      </c>
    </row>
    <row r="29" spans="2:12" ht="15.75">
      <c r="B29" s="650" t="s">
        <v>574</v>
      </c>
      <c r="C29" s="650" t="str">
        <f>C21</f>
        <v>Year 2024</v>
      </c>
      <c r="D29" s="650"/>
      <c r="E29" s="674">
        <f t="shared" si="4"/>
        <v>-2022.0422352357225</v>
      </c>
      <c r="F29" s="674"/>
      <c r="G29" s="675">
        <f t="shared" si="0"/>
        <v>6.8300000000000001E-3</v>
      </c>
      <c r="H29" s="661">
        <f t="shared" si="1"/>
        <v>4</v>
      </c>
      <c r="I29" s="674">
        <f t="shared" si="2"/>
        <v>55.242193866639937</v>
      </c>
      <c r="J29" s="674"/>
      <c r="K29" s="674"/>
      <c r="L29" s="674">
        <f t="shared" si="3"/>
        <v>2077.2844291023625</v>
      </c>
    </row>
    <row r="30" spans="2:12" ht="15.75">
      <c r="B30" s="650" t="s">
        <v>575</v>
      </c>
      <c r="C30" s="650" t="str">
        <f>C21</f>
        <v>Year 2024</v>
      </c>
      <c r="D30" s="650"/>
      <c r="E30" s="674">
        <f t="shared" si="4"/>
        <v>-2022.0422352357225</v>
      </c>
      <c r="F30" s="674"/>
      <c r="G30" s="675">
        <f t="shared" si="0"/>
        <v>6.8300000000000001E-3</v>
      </c>
      <c r="H30" s="661">
        <f t="shared" si="1"/>
        <v>3</v>
      </c>
      <c r="I30" s="674">
        <f t="shared" si="2"/>
        <v>41.431645399979956</v>
      </c>
      <c r="J30" s="674"/>
      <c r="K30" s="674"/>
      <c r="L30" s="674">
        <f t="shared" si="3"/>
        <v>2063.4738806357022</v>
      </c>
    </row>
    <row r="31" spans="2:12" ht="15.75">
      <c r="B31" s="650" t="s">
        <v>576</v>
      </c>
      <c r="C31" s="650" t="str">
        <f>C21</f>
        <v>Year 2024</v>
      </c>
      <c r="D31" s="650"/>
      <c r="E31" s="674">
        <f t="shared" si="4"/>
        <v>-2022.0422352357225</v>
      </c>
      <c r="F31" s="674"/>
      <c r="G31" s="675">
        <f t="shared" si="0"/>
        <v>6.8300000000000001E-3</v>
      </c>
      <c r="H31" s="661">
        <f t="shared" si="1"/>
        <v>2</v>
      </c>
      <c r="I31" s="674">
        <f t="shared" si="2"/>
        <v>27.621096933319969</v>
      </c>
      <c r="J31" s="674"/>
      <c r="K31" s="674"/>
      <c r="L31" s="674">
        <f t="shared" si="3"/>
        <v>2049.6633321690424</v>
      </c>
    </row>
    <row r="32" spans="2:12" ht="15.75">
      <c r="B32" s="650" t="s">
        <v>577</v>
      </c>
      <c r="C32" s="650" t="str">
        <f>C21</f>
        <v>Year 2024</v>
      </c>
      <c r="D32" s="650"/>
      <c r="E32" s="674">
        <f t="shared" si="4"/>
        <v>-2022.0422352357225</v>
      </c>
      <c r="F32" s="674"/>
      <c r="G32" s="675">
        <f t="shared" si="0"/>
        <v>6.8300000000000001E-3</v>
      </c>
      <c r="H32" s="661">
        <f t="shared" si="1"/>
        <v>1</v>
      </c>
      <c r="I32" s="676">
        <f t="shared" si="2"/>
        <v>13.810548466659984</v>
      </c>
      <c r="J32" s="674"/>
      <c r="K32" s="674"/>
      <c r="L32" s="674">
        <f t="shared" si="3"/>
        <v>2035.8527837023826</v>
      </c>
    </row>
    <row r="33" spans="2:12" ht="15.75">
      <c r="B33" s="650"/>
      <c r="C33" s="650"/>
      <c r="D33" s="650"/>
      <c r="E33" s="674"/>
      <c r="F33" s="674"/>
      <c r="G33" s="675"/>
      <c r="H33" s="661"/>
      <c r="I33" s="674">
        <f>SUM(I21:I32)</f>
        <v>1077.2227803994788</v>
      </c>
      <c r="J33" s="674"/>
      <c r="K33" s="674"/>
      <c r="L33" s="677">
        <f>SUM(L21:L32)</f>
        <v>25341.729603228145</v>
      </c>
    </row>
    <row r="34" spans="2:12" ht="15.75">
      <c r="B34" s="650"/>
      <c r="C34" s="650"/>
      <c r="D34" s="650"/>
      <c r="E34" s="674"/>
      <c r="F34" s="674"/>
      <c r="G34" s="675"/>
      <c r="H34" s="661"/>
      <c r="I34" s="674"/>
      <c r="J34" s="674" t="s">
        <v>406</v>
      </c>
      <c r="K34" s="674"/>
      <c r="L34" s="132"/>
    </row>
    <row r="35" spans="2:12" ht="15.75">
      <c r="B35" s="650"/>
      <c r="C35" s="650"/>
      <c r="D35" s="650"/>
      <c r="E35" s="660"/>
      <c r="F35" s="660"/>
      <c r="G35" s="675"/>
      <c r="H35" s="661"/>
      <c r="I35" s="678" t="s">
        <v>578</v>
      </c>
      <c r="J35" s="674"/>
      <c r="K35" s="674"/>
      <c r="L35" s="674"/>
    </row>
    <row r="36" spans="2:12" ht="15.75">
      <c r="B36" s="650" t="s">
        <v>579</v>
      </c>
      <c r="C36" s="650" t="str">
        <f>"Year "&amp;TCOS!L4-1</f>
        <v>Year 2025</v>
      </c>
      <c r="D36" s="650"/>
      <c r="E36" s="660">
        <f>L33</f>
        <v>25341.729603228145</v>
      </c>
      <c r="F36" s="660"/>
      <c r="G36" s="675">
        <f>G32</f>
        <v>6.8300000000000001E-3</v>
      </c>
      <c r="H36" s="661">
        <v>12</v>
      </c>
      <c r="I36" s="674">
        <f>+H36*G36*E36</f>
        <v>2077.0081582805788</v>
      </c>
      <c r="J36" s="674"/>
      <c r="K36" s="674"/>
      <c r="L36" s="677">
        <f>+E36+I36</f>
        <v>27418.737761508724</v>
      </c>
    </row>
    <row r="37" spans="2:12" ht="15.75">
      <c r="B37" s="650"/>
      <c r="C37" s="650"/>
      <c r="D37" s="650"/>
      <c r="E37" s="660"/>
      <c r="F37" s="660"/>
      <c r="G37" s="675"/>
      <c r="H37" s="650"/>
      <c r="I37" s="674"/>
      <c r="J37" s="674"/>
      <c r="K37" s="674"/>
      <c r="L37" s="674"/>
    </row>
    <row r="38" spans="2:12" ht="15.75">
      <c r="B38" s="679" t="s">
        <v>580</v>
      </c>
      <c r="C38" s="650"/>
      <c r="D38" s="650"/>
      <c r="E38" s="674"/>
      <c r="F38" s="674"/>
      <c r="G38" s="675"/>
      <c r="H38" s="650"/>
      <c r="I38" s="678" t="s">
        <v>565</v>
      </c>
      <c r="J38" s="674"/>
      <c r="K38" s="674"/>
      <c r="L38" s="674"/>
    </row>
    <row r="39" spans="2:12" ht="15.75">
      <c r="B39" s="650" t="s">
        <v>566</v>
      </c>
      <c r="C39" s="650" t="str">
        <f>"Year "&amp;TCOS!L4</f>
        <v>Year 2026</v>
      </c>
      <c r="D39" s="650"/>
      <c r="E39" s="680">
        <f>-L36</f>
        <v>-27418.737761508724</v>
      </c>
      <c r="F39" s="660"/>
      <c r="G39" s="675">
        <f>G15</f>
        <v>6.8300000000000001E-3</v>
      </c>
      <c r="H39" s="650"/>
      <c r="I39" s="674">
        <f xml:space="preserve"> -G39*E39</f>
        <v>187.2699789111046</v>
      </c>
      <c r="J39" s="674">
        <f>PMT(G39,12,L$36)</f>
        <v>-2387.5984306386572</v>
      </c>
      <c r="K39" s="674"/>
      <c r="L39" s="674">
        <f>(+E39+E39*G39-J39)*-1</f>
        <v>25218.409309781171</v>
      </c>
    </row>
    <row r="40" spans="2:12" ht="15.75">
      <c r="B40" s="650" t="s">
        <v>567</v>
      </c>
      <c r="C40" s="650" t="str">
        <f>+C39</f>
        <v>Year 2026</v>
      </c>
      <c r="D40" s="650"/>
      <c r="E40" s="660">
        <f>-L39</f>
        <v>-25218.409309781171</v>
      </c>
      <c r="F40" s="660"/>
      <c r="G40" s="675">
        <f>+G39</f>
        <v>6.8300000000000001E-3</v>
      </c>
      <c r="H40" s="650"/>
      <c r="I40" s="674">
        <f xml:space="preserve"> -G40*E40</f>
        <v>172.2417355858054</v>
      </c>
      <c r="J40" s="674">
        <f>J39</f>
        <v>-2387.5984306386572</v>
      </c>
      <c r="K40" s="674"/>
      <c r="L40" s="674">
        <f t="shared" ref="L40:L50" si="5">(+E40+E40*G40-J40)*-1</f>
        <v>23003.05261472832</v>
      </c>
    </row>
    <row r="41" spans="2:12" ht="15.75">
      <c r="B41" s="650" t="s">
        <v>568</v>
      </c>
      <c r="C41" s="650" t="str">
        <f>+C40</f>
        <v>Year 2026</v>
      </c>
      <c r="D41" s="650"/>
      <c r="E41" s="660">
        <f t="shared" ref="E41:E50" si="6">-L40</f>
        <v>-23003.05261472832</v>
      </c>
      <c r="F41" s="660"/>
      <c r="G41" s="675">
        <f t="shared" ref="G41:G50" si="7">+G40</f>
        <v>6.8300000000000001E-3</v>
      </c>
      <c r="H41" s="650"/>
      <c r="I41" s="674">
        <f t="shared" ref="I41:I50" si="8" xml:space="preserve"> -G41*E41</f>
        <v>157.11084935859444</v>
      </c>
      <c r="J41" s="674">
        <f t="shared" ref="J41:J50" si="9">J40</f>
        <v>-2387.5984306386572</v>
      </c>
      <c r="K41" s="674"/>
      <c r="L41" s="674">
        <f t="shared" si="5"/>
        <v>20772.56503344826</v>
      </c>
    </row>
    <row r="42" spans="2:12" ht="15.75">
      <c r="B42" s="650" t="s">
        <v>569</v>
      </c>
      <c r="C42" s="650" t="str">
        <f>+C41</f>
        <v>Year 2026</v>
      </c>
      <c r="D42" s="650"/>
      <c r="E42" s="660">
        <f t="shared" si="6"/>
        <v>-20772.56503344826</v>
      </c>
      <c r="F42" s="660"/>
      <c r="G42" s="675">
        <f t="shared" si="7"/>
        <v>6.8300000000000001E-3</v>
      </c>
      <c r="H42" s="650"/>
      <c r="I42" s="674">
        <f t="shared" si="8"/>
        <v>141.87661917845162</v>
      </c>
      <c r="J42" s="674">
        <f t="shared" si="9"/>
        <v>-2387.5984306386572</v>
      </c>
      <c r="K42" s="674"/>
      <c r="L42" s="674">
        <f t="shared" si="5"/>
        <v>18526.843221988056</v>
      </c>
    </row>
    <row r="43" spans="2:12" ht="15.75">
      <c r="B43" s="650" t="s">
        <v>570</v>
      </c>
      <c r="C43" s="650" t="str">
        <f>+C42</f>
        <v>Year 2026</v>
      </c>
      <c r="D43" s="650"/>
      <c r="E43" s="660">
        <f t="shared" si="6"/>
        <v>-18526.843221988056</v>
      </c>
      <c r="F43" s="660"/>
      <c r="G43" s="675">
        <f t="shared" si="7"/>
        <v>6.8300000000000001E-3</v>
      </c>
      <c r="H43" s="650"/>
      <c r="I43" s="674">
        <f t="shared" si="8"/>
        <v>126.53833920617842</v>
      </c>
      <c r="J43" s="674">
        <f>J42</f>
        <v>-2387.5984306386572</v>
      </c>
      <c r="K43" s="674"/>
      <c r="L43" s="674">
        <f t="shared" si="5"/>
        <v>16265.783130555577</v>
      </c>
    </row>
    <row r="44" spans="2:12" ht="15.75">
      <c r="B44" s="650" t="s">
        <v>571</v>
      </c>
      <c r="C44" s="650" t="str">
        <f>C43</f>
        <v>Year 2026</v>
      </c>
      <c r="D44" s="132"/>
      <c r="E44" s="660">
        <f t="shared" si="6"/>
        <v>-16265.783130555577</v>
      </c>
      <c r="F44" s="660"/>
      <c r="G44" s="675">
        <f t="shared" si="7"/>
        <v>6.8300000000000001E-3</v>
      </c>
      <c r="H44" s="650"/>
      <c r="I44" s="674">
        <f t="shared" si="8"/>
        <v>111.09529878169459</v>
      </c>
      <c r="J44" s="674">
        <f t="shared" si="9"/>
        <v>-2387.5984306386572</v>
      </c>
      <c r="K44" s="674"/>
      <c r="L44" s="674">
        <f t="shared" si="5"/>
        <v>13989.279998698614</v>
      </c>
    </row>
    <row r="45" spans="2:12" ht="15.75">
      <c r="B45" s="650" t="s">
        <v>572</v>
      </c>
      <c r="C45" s="650" t="str">
        <f t="shared" ref="C45:C50" si="10">+C44</f>
        <v>Year 2026</v>
      </c>
      <c r="D45" s="650"/>
      <c r="E45" s="660">
        <f t="shared" si="6"/>
        <v>-13989.279998698614</v>
      </c>
      <c r="F45" s="660"/>
      <c r="G45" s="675">
        <f t="shared" si="7"/>
        <v>6.8300000000000001E-3</v>
      </c>
      <c r="H45" s="650"/>
      <c r="I45" s="674">
        <f t="shared" si="8"/>
        <v>95.546782391111535</v>
      </c>
      <c r="J45" s="674">
        <f t="shared" si="9"/>
        <v>-2387.5984306386572</v>
      </c>
      <c r="K45" s="674"/>
      <c r="L45" s="674">
        <f t="shared" si="5"/>
        <v>11697.228350451067</v>
      </c>
    </row>
    <row r="46" spans="2:12" ht="15.75">
      <c r="B46" s="650" t="s">
        <v>573</v>
      </c>
      <c r="C46" s="650" t="str">
        <f t="shared" si="10"/>
        <v>Year 2026</v>
      </c>
      <c r="D46" s="650"/>
      <c r="E46" s="660">
        <f t="shared" si="6"/>
        <v>-11697.228350451067</v>
      </c>
      <c r="F46" s="660"/>
      <c r="G46" s="675">
        <f t="shared" si="7"/>
        <v>6.8300000000000001E-3</v>
      </c>
      <c r="H46" s="650"/>
      <c r="I46" s="674">
        <f t="shared" si="8"/>
        <v>79.892069633580789</v>
      </c>
      <c r="J46" s="674">
        <f t="shared" si="9"/>
        <v>-2387.5984306386572</v>
      </c>
      <c r="K46" s="674"/>
      <c r="L46" s="674">
        <f t="shared" si="5"/>
        <v>9389.5219894459915</v>
      </c>
    </row>
    <row r="47" spans="2:12" ht="15.75">
      <c r="B47" s="650" t="s">
        <v>574</v>
      </c>
      <c r="C47" s="650" t="str">
        <f t="shared" si="10"/>
        <v>Year 2026</v>
      </c>
      <c r="D47" s="650"/>
      <c r="E47" s="660">
        <f t="shared" si="6"/>
        <v>-9389.5219894459915</v>
      </c>
      <c r="F47" s="660"/>
      <c r="G47" s="675">
        <f t="shared" si="7"/>
        <v>6.8300000000000001E-3</v>
      </c>
      <c r="H47" s="650"/>
      <c r="I47" s="674">
        <f t="shared" si="8"/>
        <v>64.13043518791612</v>
      </c>
      <c r="J47" s="674">
        <f>J46</f>
        <v>-2387.5984306386572</v>
      </c>
      <c r="K47" s="674"/>
      <c r="L47" s="674">
        <f t="shared" si="5"/>
        <v>7066.0539939952496</v>
      </c>
    </row>
    <row r="48" spans="2:12" ht="15.75">
      <c r="B48" s="650" t="s">
        <v>575</v>
      </c>
      <c r="C48" s="650" t="str">
        <f t="shared" si="10"/>
        <v>Year 2026</v>
      </c>
      <c r="D48" s="650"/>
      <c r="E48" s="660">
        <f t="shared" si="6"/>
        <v>-7066.0539939952496</v>
      </c>
      <c r="F48" s="660"/>
      <c r="G48" s="675">
        <f t="shared" si="7"/>
        <v>6.8300000000000001E-3</v>
      </c>
      <c r="H48" s="650"/>
      <c r="I48" s="674">
        <f t="shared" si="8"/>
        <v>48.261148778987554</v>
      </c>
      <c r="J48" s="674">
        <f t="shared" si="9"/>
        <v>-2387.5984306386572</v>
      </c>
      <c r="K48" s="674"/>
      <c r="L48" s="674">
        <f t="shared" si="5"/>
        <v>4726.7167121355797</v>
      </c>
    </row>
    <row r="49" spans="2:12" ht="15.75">
      <c r="B49" s="650" t="s">
        <v>576</v>
      </c>
      <c r="C49" s="650" t="str">
        <f t="shared" si="10"/>
        <v>Year 2026</v>
      </c>
      <c r="D49" s="650"/>
      <c r="E49" s="660">
        <f t="shared" si="6"/>
        <v>-4726.7167121355797</v>
      </c>
      <c r="F49" s="660"/>
      <c r="G49" s="675">
        <f t="shared" si="7"/>
        <v>6.8300000000000001E-3</v>
      </c>
      <c r="H49" s="650"/>
      <c r="I49" s="674">
        <f t="shared" si="8"/>
        <v>32.283475143886008</v>
      </c>
      <c r="J49" s="674">
        <f t="shared" si="9"/>
        <v>-2387.5984306386572</v>
      </c>
      <c r="K49" s="674"/>
      <c r="L49" s="674">
        <f t="shared" si="5"/>
        <v>2371.4017566408083</v>
      </c>
    </row>
    <row r="50" spans="2:12" ht="15.75">
      <c r="B50" s="650" t="s">
        <v>577</v>
      </c>
      <c r="C50" s="650" t="str">
        <f t="shared" si="10"/>
        <v>Year 2026</v>
      </c>
      <c r="D50" s="650"/>
      <c r="E50" s="660">
        <f t="shared" si="6"/>
        <v>-2371.4017566408083</v>
      </c>
      <c r="F50" s="660"/>
      <c r="G50" s="675">
        <f t="shared" si="7"/>
        <v>6.8300000000000001E-3</v>
      </c>
      <c r="H50" s="650"/>
      <c r="I50" s="676">
        <f t="shared" si="8"/>
        <v>16.19667399785672</v>
      </c>
      <c r="J50" s="674">
        <f t="shared" si="9"/>
        <v>-2387.5984306386572</v>
      </c>
      <c r="K50" s="674"/>
      <c r="L50" s="674">
        <f t="shared" si="5"/>
        <v>7.73070496506989E-12</v>
      </c>
    </row>
    <row r="51" spans="2:12" ht="15.75">
      <c r="B51" s="650"/>
      <c r="C51" s="650"/>
      <c r="D51" s="650"/>
      <c r="E51" s="660"/>
      <c r="F51" s="660"/>
      <c r="G51" s="675"/>
      <c r="H51" s="650"/>
      <c r="I51" s="674">
        <f>SUM(I39:I50)</f>
        <v>1232.4434061551681</v>
      </c>
      <c r="J51" s="674"/>
      <c r="K51" s="674"/>
      <c r="L51" s="674"/>
    </row>
    <row r="52" spans="2:12" ht="15">
      <c r="B52" s="132"/>
      <c r="C52" s="132"/>
      <c r="D52" s="132"/>
      <c r="E52" s="132"/>
      <c r="F52" s="132"/>
      <c r="G52" s="132"/>
      <c r="H52" s="132"/>
      <c r="I52" s="132"/>
      <c r="J52" s="681"/>
      <c r="K52" s="132"/>
      <c r="L52" s="132"/>
    </row>
    <row r="53" spans="2:12" ht="15.75">
      <c r="B53" s="650" t="s">
        <v>581</v>
      </c>
      <c r="C53" s="132"/>
      <c r="D53" s="132"/>
      <c r="E53" s="132"/>
      <c r="F53" s="132"/>
      <c r="G53" s="132"/>
      <c r="H53" s="132"/>
      <c r="I53" s="132"/>
      <c r="J53" s="682">
        <f>(SUM(J39:J50)*-1)</f>
        <v>28651.181167663879</v>
      </c>
      <c r="K53" s="132"/>
      <c r="L53" s="132"/>
    </row>
    <row r="54" spans="2:12" ht="15.75">
      <c r="B54" s="650" t="s">
        <v>582</v>
      </c>
      <c r="C54" s="132"/>
      <c r="D54" s="132"/>
      <c r="E54" s="132"/>
      <c r="F54" s="132"/>
      <c r="G54" s="132"/>
      <c r="H54" s="132"/>
      <c r="I54" s="132"/>
      <c r="J54" s="683">
        <f>+I10</f>
        <v>-24264.506822828669</v>
      </c>
      <c r="K54" s="132"/>
      <c r="L54" s="132"/>
    </row>
    <row r="55" spans="2:12" ht="15.75">
      <c r="B55" s="650" t="s">
        <v>583</v>
      </c>
      <c r="C55" s="132"/>
      <c r="D55" s="132"/>
      <c r="E55" s="132"/>
      <c r="F55" s="132"/>
      <c r="G55" s="132"/>
      <c r="H55" s="132"/>
      <c r="I55" s="132"/>
      <c r="J55" s="682">
        <f>(J53+J54)</f>
        <v>4386.6743448352099</v>
      </c>
      <c r="K55" s="132"/>
      <c r="L55" s="132"/>
    </row>
    <row r="57" spans="2:12" ht="79.150000000000006" customHeight="1">
      <c r="B57" s="1209" t="s">
        <v>584</v>
      </c>
      <c r="C57" s="1209"/>
      <c r="D57" s="1209"/>
      <c r="E57" s="1209"/>
      <c r="F57" s="1209"/>
      <c r="G57" s="1209"/>
      <c r="H57" s="1209"/>
      <c r="I57" s="1209"/>
      <c r="J57" s="959"/>
      <c r="K57" s="960"/>
      <c r="L57" s="960"/>
    </row>
  </sheetData>
  <mergeCells count="5">
    <mergeCell ref="B1:L1"/>
    <mergeCell ref="B2:L2"/>
    <mergeCell ref="B3:L3"/>
    <mergeCell ref="E4:H4"/>
    <mergeCell ref="B57:I57"/>
  </mergeCells>
  <pageMargins left="0.7" right="0.7" top="0.75" bottom="0.75" header="0.3" footer="0.3"/>
  <pageSetup scale="4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E10"/>
  <sheetViews>
    <sheetView zoomScaleNormal="75" workbookViewId="0">
      <selection activeCell="N42" sqref="N42"/>
    </sheetView>
  </sheetViews>
  <sheetFormatPr defaultRowHeight="12.75"/>
  <cols>
    <col min="1" max="1" width="9.140625" style="7"/>
    <col min="2" max="2" width="40.140625" style="8" customWidth="1"/>
    <col min="3" max="3" width="31.5703125" style="5" customWidth="1"/>
    <col min="4" max="4" width="14.85546875" style="5" customWidth="1"/>
    <col min="5" max="5" width="18" style="5" customWidth="1"/>
    <col min="6" max="16384" width="9.140625" style="5"/>
  </cols>
  <sheetData>
    <row r="1" spans="1:5" ht="15.75">
      <c r="A1" s="730" t="s">
        <v>406</v>
      </c>
    </row>
    <row r="2" spans="1:5" ht="15.75">
      <c r="A2" s="730" t="s">
        <v>406</v>
      </c>
    </row>
    <row r="3" spans="1:5" ht="15">
      <c r="B3" s="1148" t="str">
        <f>TCOS!$F$5</f>
        <v>AEPTCo subsidiaries in PJM</v>
      </c>
      <c r="C3" s="1148" t="str">
        <f>TCOS!$F$5</f>
        <v>AEPTCo subsidiaries in PJM</v>
      </c>
      <c r="D3" s="1148" t="str">
        <f>TCOS!$F$5</f>
        <v>AEPTCo subsidiaries in PJM</v>
      </c>
      <c r="E3" s="1148" t="str">
        <f>TCOS!$F$5</f>
        <v>AEPTCo subsidiaries in PJM</v>
      </c>
    </row>
    <row r="4" spans="1:5" ht="15">
      <c r="B4" s="1149" t="str">
        <f>"Cost of Service Formula Rate Using Actual/Projected FF1 Balances"</f>
        <v>Cost of Service Formula Rate Using Actual/Projected FF1 Balances</v>
      </c>
      <c r="C4" s="1149"/>
      <c r="D4" s="1149"/>
      <c r="E4" s="1149"/>
    </row>
    <row r="5" spans="1:5" ht="15">
      <c r="B5" s="1148" t="s">
        <v>589</v>
      </c>
      <c r="C5" s="1148"/>
      <c r="D5" s="1148"/>
      <c r="E5" s="1148"/>
    </row>
    <row r="6" spans="1:5" ht="15">
      <c r="B6" s="1159" t="str">
        <f>+TCOS!F9</f>
        <v>AEP Ohio Transmission Company</v>
      </c>
      <c r="C6" s="1148"/>
      <c r="D6" s="1148"/>
      <c r="E6" s="1148"/>
    </row>
    <row r="8" spans="1:5" ht="18.75" customHeight="1">
      <c r="B8" s="6" t="s">
        <v>406</v>
      </c>
      <c r="C8" s="63"/>
      <c r="D8" s="76"/>
    </row>
    <row r="9" spans="1:5">
      <c r="B9" s="75"/>
      <c r="C9" s="63"/>
      <c r="D9" s="76"/>
    </row>
    <row r="10" spans="1:5">
      <c r="B10" s="8" t="s">
        <v>553</v>
      </c>
    </row>
  </sheetData>
  <mergeCells count="4">
    <mergeCell ref="B6:E6"/>
    <mergeCell ref="B3:E3"/>
    <mergeCell ref="B4:E4"/>
    <mergeCell ref="B5:E5"/>
  </mergeCells>
  <phoneticPr fontId="0" type="noConversion"/>
  <pageMargins left="0.61" right="1" top="1.22" bottom="1" header="0.87" footer="0.5"/>
  <pageSetup scale="73" orientation="portrait" r:id="rId1"/>
  <headerFooter alignWithMargins="0">
    <oddHeader>&amp;R&amp;"Arial,Bold"Formula Rate 
&amp;A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90"/>
  <sheetViews>
    <sheetView topLeftCell="A29" zoomScale="90" zoomScaleNormal="90" zoomScaleSheetLayoutView="70" workbookViewId="0">
      <selection activeCell="E61" sqref="E61"/>
    </sheetView>
  </sheetViews>
  <sheetFormatPr defaultColWidth="11.42578125" defaultRowHeight="12.75"/>
  <cols>
    <col min="1" max="1" width="10.28515625" style="816" customWidth="1"/>
    <col min="2" max="2" width="57.42578125" style="3" customWidth="1"/>
    <col min="3" max="3" width="26.7109375" style="3" bestFit="1" customWidth="1"/>
    <col min="4" max="4" width="25" style="3" customWidth="1"/>
    <col min="5" max="11" width="20.28515625" style="3" customWidth="1"/>
    <col min="12" max="12" width="20" style="3" customWidth="1"/>
    <col min="13" max="14" width="15.140625" style="3" customWidth="1"/>
    <col min="15" max="16384" width="11.42578125" style="3"/>
  </cols>
  <sheetData>
    <row r="1" spans="1:12" ht="15">
      <c r="A1" s="1148" t="str">
        <f>TCOS!F5</f>
        <v>AEPTCo subsidiaries in PJM</v>
      </c>
      <c r="B1" s="1148" t="s">
        <v>321</v>
      </c>
      <c r="C1" s="1148" t="s">
        <v>321</v>
      </c>
      <c r="D1" s="1148" t="s">
        <v>321</v>
      </c>
      <c r="E1" s="1148" t="s">
        <v>321</v>
      </c>
      <c r="F1" s="1148" t="s">
        <v>321</v>
      </c>
      <c r="G1" s="1148" t="s">
        <v>321</v>
      </c>
      <c r="H1" s="47"/>
      <c r="I1" s="47"/>
    </row>
    <row r="2" spans="1:12" ht="15">
      <c r="A2" s="1149" t="str">
        <f>"Cost of Service Formula Rate Using Actual/Projected FF1 Balances"</f>
        <v>Cost of Service Formula Rate Using Actual/Projected FF1 Balances</v>
      </c>
      <c r="B2" s="1149"/>
      <c r="C2" s="1149"/>
      <c r="D2" s="1149"/>
      <c r="E2" s="1149"/>
      <c r="F2" s="1149"/>
      <c r="G2" s="1149"/>
      <c r="H2" s="47"/>
      <c r="I2" s="47"/>
      <c r="J2" s="47"/>
      <c r="L2" s="777"/>
    </row>
    <row r="3" spans="1:12" ht="15">
      <c r="A3" s="1149" t="s">
        <v>695</v>
      </c>
      <c r="B3" s="1149"/>
      <c r="C3" s="1149"/>
      <c r="D3" s="1149"/>
      <c r="E3" s="1149"/>
      <c r="F3" s="1149"/>
      <c r="G3" s="1149"/>
      <c r="H3" s="47"/>
      <c r="I3" s="47"/>
      <c r="J3" s="47"/>
    </row>
    <row r="4" spans="1:12" ht="15">
      <c r="A4" s="1150" t="str">
        <f>TCOS!F9</f>
        <v>AEP Ohio Transmission Company</v>
      </c>
      <c r="B4" s="1150"/>
      <c r="C4" s="1150"/>
      <c r="D4" s="1150"/>
      <c r="E4" s="1150"/>
      <c r="F4" s="1150"/>
      <c r="G4" s="1150"/>
      <c r="H4" s="47"/>
      <c r="I4" s="47"/>
      <c r="J4" s="47"/>
    </row>
    <row r="5" spans="1:12">
      <c r="A5" s="47"/>
      <c r="B5" s="778"/>
      <c r="C5" s="778"/>
      <c r="D5" s="778"/>
      <c r="E5" s="779"/>
      <c r="F5" s="780"/>
      <c r="H5" s="780"/>
      <c r="J5" s="780"/>
      <c r="L5" s="780"/>
    </row>
    <row r="6" spans="1:12" ht="12.75" customHeight="1">
      <c r="A6" s="47"/>
      <c r="B6" s="778"/>
      <c r="C6" s="1151" t="s">
        <v>696</v>
      </c>
      <c r="D6" s="1152"/>
      <c r="E6" s="1152"/>
      <c r="F6" s="1152"/>
      <c r="G6" s="1152"/>
      <c r="H6" s="1152"/>
      <c r="I6" s="1153"/>
      <c r="J6" s="781"/>
      <c r="K6" s="781"/>
    </row>
    <row r="7" spans="1:12" s="524" customFormat="1" ht="25.5">
      <c r="A7" s="782" t="s">
        <v>697</v>
      </c>
      <c r="B7" s="783" t="s">
        <v>698</v>
      </c>
      <c r="C7" s="784" t="s">
        <v>407</v>
      </c>
      <c r="D7" s="784" t="s">
        <v>699</v>
      </c>
      <c r="E7" s="784" t="s">
        <v>128</v>
      </c>
      <c r="F7" s="784" t="s">
        <v>700</v>
      </c>
      <c r="G7" s="1093" t="s">
        <v>701</v>
      </c>
      <c r="H7" s="1098"/>
      <c r="I7" s="1099"/>
      <c r="L7" s="3"/>
    </row>
    <row r="8" spans="1:12" s="787" customFormat="1">
      <c r="A8" s="785"/>
      <c r="B8" s="786" t="s">
        <v>702</v>
      </c>
      <c r="C8" s="1088" t="s">
        <v>717</v>
      </c>
      <c r="D8" s="1088" t="s">
        <v>718</v>
      </c>
      <c r="E8" s="1088" t="s">
        <v>703</v>
      </c>
      <c r="F8" s="1088" t="s">
        <v>704</v>
      </c>
      <c r="G8" s="1094" t="s">
        <v>737</v>
      </c>
      <c r="H8" s="1088"/>
      <c r="I8" s="1100"/>
      <c r="L8" s="3"/>
    </row>
    <row r="9" spans="1:12" s="787" customFormat="1" ht="44.25" customHeight="1">
      <c r="A9" s="785"/>
      <c r="B9" s="786" t="s">
        <v>705</v>
      </c>
      <c r="C9" s="788" t="s">
        <v>223</v>
      </c>
      <c r="D9" s="788" t="s">
        <v>224</v>
      </c>
      <c r="E9" s="788" t="s">
        <v>225</v>
      </c>
      <c r="F9" s="788" t="s">
        <v>226</v>
      </c>
      <c r="G9" s="788" t="s">
        <v>227</v>
      </c>
      <c r="H9" s="1105"/>
      <c r="I9" s="1106"/>
      <c r="L9" s="3"/>
    </row>
    <row r="10" spans="1:12">
      <c r="A10" s="785">
        <v>1</v>
      </c>
      <c r="B10" s="789" t="s">
        <v>706</v>
      </c>
      <c r="C10" s="1076">
        <v>6754417979.126771</v>
      </c>
      <c r="D10" s="790"/>
      <c r="E10" s="1083">
        <v>303846338.57098567</v>
      </c>
      <c r="F10" s="790"/>
      <c r="G10" s="1076"/>
      <c r="H10" s="1083"/>
      <c r="I10" s="1087"/>
    </row>
    <row r="11" spans="1:12">
      <c r="A11" s="785">
        <f>+A10+1</f>
        <v>2</v>
      </c>
      <c r="B11" s="789" t="s">
        <v>566</v>
      </c>
      <c r="C11" s="1077">
        <v>6773303855.7977114</v>
      </c>
      <c r="D11" s="949"/>
      <c r="E11" s="1083">
        <v>307050922.49886423</v>
      </c>
      <c r="F11" s="949"/>
      <c r="G11" s="1077"/>
      <c r="H11" s="1083"/>
      <c r="I11" s="1084"/>
    </row>
    <row r="12" spans="1:12">
      <c r="A12" s="785">
        <f t="shared" ref="A12:A23" si="0">+A11+1</f>
        <v>3</v>
      </c>
      <c r="B12" s="791" t="s">
        <v>567</v>
      </c>
      <c r="C12" s="1077">
        <v>6781538696.3818359</v>
      </c>
      <c r="D12" s="949"/>
      <c r="E12" s="1083">
        <v>312308073.32404315</v>
      </c>
      <c r="F12" s="949"/>
      <c r="G12" s="1077"/>
      <c r="H12" s="1083"/>
      <c r="I12" s="1084"/>
    </row>
    <row r="13" spans="1:12">
      <c r="A13" s="785">
        <f t="shared" si="0"/>
        <v>4</v>
      </c>
      <c r="B13" s="791" t="s">
        <v>707</v>
      </c>
      <c r="C13" s="1077">
        <v>6793011605.2673912</v>
      </c>
      <c r="D13" s="949"/>
      <c r="E13" s="1083">
        <v>335887848.10036206</v>
      </c>
      <c r="F13" s="949"/>
      <c r="G13" s="1077"/>
      <c r="H13" s="1083"/>
      <c r="I13" s="1084"/>
    </row>
    <row r="14" spans="1:12">
      <c r="A14" s="785">
        <f t="shared" si="0"/>
        <v>5</v>
      </c>
      <c r="B14" s="791" t="s">
        <v>569</v>
      </c>
      <c r="C14" s="1077">
        <v>6801936070.2678471</v>
      </c>
      <c r="D14" s="949"/>
      <c r="E14" s="1083">
        <v>339940147.95990825</v>
      </c>
      <c r="F14" s="949"/>
      <c r="G14" s="1077"/>
      <c r="H14" s="1083"/>
      <c r="I14" s="1084"/>
    </row>
    <row r="15" spans="1:12">
      <c r="A15" s="785">
        <f t="shared" si="0"/>
        <v>6</v>
      </c>
      <c r="B15" s="791" t="s">
        <v>570</v>
      </c>
      <c r="C15" s="1077">
        <v>6819871774.1014204</v>
      </c>
      <c r="D15" s="949"/>
      <c r="E15" s="1083">
        <v>341572251.00438082</v>
      </c>
      <c r="F15" s="949"/>
      <c r="G15" s="1077"/>
      <c r="H15" s="1083"/>
      <c r="I15" s="1084"/>
    </row>
    <row r="16" spans="1:12">
      <c r="A16" s="785">
        <f t="shared" si="0"/>
        <v>7</v>
      </c>
      <c r="B16" s="791" t="s">
        <v>571</v>
      </c>
      <c r="C16" s="1077">
        <v>6906359785.2327166</v>
      </c>
      <c r="D16" s="949"/>
      <c r="E16" s="1083">
        <v>342036349.43036127</v>
      </c>
      <c r="F16" s="949"/>
      <c r="G16" s="1077"/>
      <c r="H16" s="1083"/>
      <c r="I16" s="1084"/>
    </row>
    <row r="17" spans="1:12">
      <c r="A17" s="785">
        <f t="shared" si="0"/>
        <v>8</v>
      </c>
      <c r="B17" s="791" t="s">
        <v>572</v>
      </c>
      <c r="C17" s="1077">
        <v>6950941582.854949</v>
      </c>
      <c r="D17" s="949"/>
      <c r="E17" s="1083">
        <v>343712259.58111393</v>
      </c>
      <c r="F17" s="949"/>
      <c r="G17" s="1077"/>
      <c r="H17" s="1083"/>
      <c r="I17" s="1084"/>
    </row>
    <row r="18" spans="1:12">
      <c r="A18" s="785">
        <f t="shared" si="0"/>
        <v>9</v>
      </c>
      <c r="B18" s="791" t="s">
        <v>708</v>
      </c>
      <c r="C18" s="1077">
        <v>7011147149.5638905</v>
      </c>
      <c r="D18" s="949"/>
      <c r="E18" s="1083">
        <v>353249731.73544925</v>
      </c>
      <c r="F18" s="949"/>
      <c r="G18" s="1077"/>
      <c r="H18" s="1083"/>
      <c r="I18" s="1084"/>
    </row>
    <row r="19" spans="1:12">
      <c r="A19" s="785">
        <f t="shared" si="0"/>
        <v>10</v>
      </c>
      <c r="B19" s="791" t="s">
        <v>574</v>
      </c>
      <c r="C19" s="1077">
        <v>7054750144.1447468</v>
      </c>
      <c r="D19" s="949"/>
      <c r="E19" s="1083">
        <v>363778615.70785481</v>
      </c>
      <c r="F19" s="949"/>
      <c r="G19" s="1077"/>
      <c r="H19" s="1083"/>
      <c r="I19" s="1084"/>
    </row>
    <row r="20" spans="1:12">
      <c r="A20" s="785">
        <f t="shared" si="0"/>
        <v>11</v>
      </c>
      <c r="B20" s="791" t="s">
        <v>575</v>
      </c>
      <c r="C20" s="1077">
        <v>7104981092.3538179</v>
      </c>
      <c r="D20" s="949"/>
      <c r="E20" s="1083">
        <v>372532040.64279348</v>
      </c>
      <c r="F20" s="949"/>
      <c r="G20" s="1077"/>
      <c r="H20" s="1083"/>
      <c r="I20" s="1084"/>
    </row>
    <row r="21" spans="1:12">
      <c r="A21" s="785">
        <f t="shared" si="0"/>
        <v>12</v>
      </c>
      <c r="B21" s="791" t="s">
        <v>576</v>
      </c>
      <c r="C21" s="1077">
        <v>7156832881.4325771</v>
      </c>
      <c r="D21" s="949"/>
      <c r="E21" s="1083">
        <v>408389940.70702022</v>
      </c>
      <c r="F21" s="949"/>
      <c r="G21" s="1077"/>
      <c r="H21" s="1083"/>
      <c r="I21" s="1084"/>
    </row>
    <row r="22" spans="1:12">
      <c r="A22" s="792">
        <f t="shared" si="0"/>
        <v>13</v>
      </c>
      <c r="B22" s="793" t="s">
        <v>709</v>
      </c>
      <c r="C22" s="1078">
        <v>7248374646.1610813</v>
      </c>
      <c r="D22" s="790"/>
      <c r="E22" s="1083">
        <v>478676048.7182982</v>
      </c>
      <c r="F22" s="790"/>
      <c r="G22" s="1078"/>
      <c r="H22" s="1083"/>
      <c r="I22" s="1084"/>
    </row>
    <row r="23" spans="1:12" ht="13.5" thickBot="1">
      <c r="A23" s="792">
        <f t="shared" si="0"/>
        <v>14</v>
      </c>
      <c r="B23" s="794" t="s">
        <v>710</v>
      </c>
      <c r="C23" s="795">
        <f>SUM(C10:C22)/13</f>
        <v>6935189789.4374428</v>
      </c>
      <c r="D23" s="795">
        <f t="shared" ref="D23:G23" si="1">SUM(D10:D22)/13</f>
        <v>0</v>
      </c>
      <c r="E23" s="795">
        <f t="shared" si="1"/>
        <v>354075428.30626428</v>
      </c>
      <c r="F23" s="795">
        <f t="shared" si="1"/>
        <v>0</v>
      </c>
      <c r="G23" s="795">
        <f t="shared" si="1"/>
        <v>0</v>
      </c>
      <c r="H23" s="1085"/>
      <c r="I23" s="1086"/>
    </row>
    <row r="24" spans="1:12" ht="13.5" thickTop="1">
      <c r="A24" s="47"/>
      <c r="B24" s="796"/>
      <c r="C24" s="797"/>
      <c r="D24" s="798"/>
      <c r="E24" s="798"/>
      <c r="F24" s="798"/>
      <c r="G24" s="797"/>
      <c r="H24" s="797"/>
      <c r="I24" s="797"/>
    </row>
    <row r="25" spans="1:12" ht="12.75" customHeight="1">
      <c r="A25" s="47"/>
      <c r="B25" s="778"/>
      <c r="C25" s="1154" t="s">
        <v>711</v>
      </c>
      <c r="D25" s="1155"/>
      <c r="E25" s="1155"/>
      <c r="F25" s="1155"/>
      <c r="G25" s="1155"/>
      <c r="H25" s="1155"/>
      <c r="I25" s="1156"/>
      <c r="J25"/>
      <c r="K25"/>
    </row>
    <row r="26" spans="1:12" s="524" customFormat="1" ht="25.5">
      <c r="A26" s="782" t="s">
        <v>697</v>
      </c>
      <c r="B26" s="783" t="s">
        <v>698</v>
      </c>
      <c r="C26" s="784" t="s">
        <v>407</v>
      </c>
      <c r="D26" s="784" t="s">
        <v>699</v>
      </c>
      <c r="E26" s="784" t="s">
        <v>128</v>
      </c>
      <c r="F26" s="784" t="s">
        <v>700</v>
      </c>
      <c r="G26" s="1093" t="s">
        <v>701</v>
      </c>
      <c r="H26" s="1103"/>
      <c r="I26" s="1104"/>
      <c r="J26"/>
      <c r="K26"/>
      <c r="L26" s="3"/>
    </row>
    <row r="27" spans="1:12" s="787" customFormat="1">
      <c r="A27" s="785"/>
      <c r="B27" s="786" t="s">
        <v>702</v>
      </c>
      <c r="C27" s="1088" t="s">
        <v>717</v>
      </c>
      <c r="D27" s="1088" t="s">
        <v>718</v>
      </c>
      <c r="E27" s="1088" t="s">
        <v>703</v>
      </c>
      <c r="F27" s="1088" t="s">
        <v>704</v>
      </c>
      <c r="G27" s="1094" t="s">
        <v>737</v>
      </c>
      <c r="H27" s="1088"/>
      <c r="I27" s="1100"/>
      <c r="J27"/>
      <c r="K27"/>
      <c r="L27" s="3"/>
    </row>
    <row r="28" spans="1:12" s="787" customFormat="1" ht="44.25" customHeight="1">
      <c r="A28" s="785"/>
      <c r="B28" s="786" t="s">
        <v>705</v>
      </c>
      <c r="C28" s="788" t="s">
        <v>172</v>
      </c>
      <c r="D28" s="788" t="str">
        <f>"Company Records (Included in total in Column "&amp;C27&amp;")"</f>
        <v>Company Records (Included in total in Column (b))</v>
      </c>
      <c r="E28" s="788" t="s">
        <v>8</v>
      </c>
      <c r="F28" s="788" t="str">
        <f>"Company Records (Included in total in Column "&amp;E27&amp;")"</f>
        <v>Company Records (Included in total in Column (d))</v>
      </c>
      <c r="G28" s="788" t="s">
        <v>294</v>
      </c>
      <c r="H28" s="1105"/>
      <c r="I28" s="1106"/>
      <c r="J28"/>
      <c r="K28"/>
      <c r="L28" s="3"/>
    </row>
    <row r="29" spans="1:12">
      <c r="A29" s="785">
        <f>+A23+1</f>
        <v>15</v>
      </c>
      <c r="B29" s="789" t="s">
        <v>706</v>
      </c>
      <c r="C29" s="1076">
        <v>1082407739.1245167</v>
      </c>
      <c r="D29" s="790"/>
      <c r="E29" s="1083">
        <v>62474010.480653755</v>
      </c>
      <c r="F29" s="790"/>
      <c r="G29" s="1076"/>
      <c r="H29" s="1083"/>
      <c r="I29" s="1087"/>
      <c r="J29"/>
      <c r="K29"/>
    </row>
    <row r="30" spans="1:12">
      <c r="A30" s="785">
        <f>+A29+1</f>
        <v>16</v>
      </c>
      <c r="B30" s="789" t="s">
        <v>566</v>
      </c>
      <c r="C30" s="1077">
        <v>1098572837.3925216</v>
      </c>
      <c r="D30" s="949"/>
      <c r="E30" s="1083">
        <v>63850051.200268678</v>
      </c>
      <c r="F30" s="949"/>
      <c r="G30" s="1077"/>
      <c r="H30" s="1083"/>
      <c r="I30" s="1084"/>
      <c r="J30"/>
      <c r="K30"/>
    </row>
    <row r="31" spans="1:12">
      <c r="A31" s="785">
        <f t="shared" ref="A31:A42" si="2">+A30+1</f>
        <v>17</v>
      </c>
      <c r="B31" s="791" t="s">
        <v>567</v>
      </c>
      <c r="C31" s="1077">
        <v>1114782224.704864</v>
      </c>
      <c r="D31" s="949"/>
      <c r="E31" s="1083">
        <v>65233702.79769142</v>
      </c>
      <c r="F31" s="949"/>
      <c r="G31" s="1077"/>
      <c r="H31" s="1083"/>
      <c r="I31" s="1084"/>
      <c r="J31"/>
      <c r="K31"/>
    </row>
    <row r="32" spans="1:12">
      <c r="A32" s="785">
        <f t="shared" si="2"/>
        <v>18</v>
      </c>
      <c r="B32" s="791" t="s">
        <v>707</v>
      </c>
      <c r="C32" s="1077">
        <v>1130528941.2249947</v>
      </c>
      <c r="D32" s="949"/>
      <c r="E32" s="1083">
        <v>64081636.398892343</v>
      </c>
      <c r="F32" s="949"/>
      <c r="G32" s="1077"/>
      <c r="H32" s="1083"/>
      <c r="I32" s="1084"/>
      <c r="J32"/>
      <c r="K32"/>
    </row>
    <row r="33" spans="1:11">
      <c r="A33" s="785">
        <f t="shared" si="2"/>
        <v>19</v>
      </c>
      <c r="B33" s="791" t="s">
        <v>569</v>
      </c>
      <c r="C33" s="1077">
        <v>1146787645.0909536</v>
      </c>
      <c r="D33" s="949"/>
      <c r="E33" s="1083">
        <v>65501041.043048739</v>
      </c>
      <c r="F33" s="949"/>
      <c r="G33" s="1077"/>
      <c r="H33" s="1083"/>
      <c r="I33" s="1084"/>
      <c r="J33"/>
      <c r="K33"/>
    </row>
    <row r="34" spans="1:11">
      <c r="A34" s="785">
        <f t="shared" si="2"/>
        <v>20</v>
      </c>
      <c r="B34" s="791" t="s">
        <v>570</v>
      </c>
      <c r="C34" s="1077">
        <v>1163072538.6704326</v>
      </c>
      <c r="D34" s="949"/>
      <c r="E34" s="1083">
        <v>66930069.894254193</v>
      </c>
      <c r="F34" s="949"/>
      <c r="G34" s="1077"/>
      <c r="H34" s="1083"/>
      <c r="I34" s="1084"/>
      <c r="J34"/>
      <c r="K34"/>
    </row>
    <row r="35" spans="1:11">
      <c r="A35" s="785">
        <f t="shared" si="2"/>
        <v>21</v>
      </c>
      <c r="B35" s="791" t="s">
        <v>571</v>
      </c>
      <c r="C35" s="1077">
        <v>1179067521.6895809</v>
      </c>
      <c r="D35" s="949"/>
      <c r="E35" s="1083">
        <v>66607182.330010869</v>
      </c>
      <c r="F35" s="949"/>
      <c r="G35" s="1077"/>
      <c r="H35" s="1083"/>
      <c r="I35" s="1084"/>
      <c r="J35"/>
      <c r="K35"/>
    </row>
    <row r="36" spans="1:11">
      <c r="A36" s="785">
        <f t="shared" si="2"/>
        <v>22</v>
      </c>
      <c r="B36" s="791" t="s">
        <v>572</v>
      </c>
      <c r="C36" s="1077">
        <v>1195584806.2866564</v>
      </c>
      <c r="D36" s="949"/>
      <c r="E36" s="1083">
        <v>68018543.710882872</v>
      </c>
      <c r="F36" s="949"/>
      <c r="G36" s="1077"/>
      <c r="H36" s="1083"/>
      <c r="I36" s="1084"/>
      <c r="J36"/>
      <c r="K36"/>
    </row>
    <row r="37" spans="1:11">
      <c r="A37" s="785">
        <f t="shared" si="2"/>
        <v>23</v>
      </c>
      <c r="B37" s="791" t="s">
        <v>708</v>
      </c>
      <c r="C37" s="1077">
        <v>1212204300.3687923</v>
      </c>
      <c r="D37" s="949"/>
      <c r="E37" s="1083">
        <v>69433986.087905809</v>
      </c>
      <c r="F37" s="949"/>
      <c r="G37" s="1077"/>
      <c r="H37" s="1083"/>
      <c r="I37" s="1084"/>
      <c r="J37"/>
      <c r="K37"/>
    </row>
    <row r="38" spans="1:11">
      <c r="A38" s="785">
        <f t="shared" si="2"/>
        <v>24</v>
      </c>
      <c r="B38" s="791" t="s">
        <v>574</v>
      </c>
      <c r="C38" s="1077">
        <v>1228538098.6292181</v>
      </c>
      <c r="D38" s="949"/>
      <c r="E38" s="1083">
        <v>68665781.311543301</v>
      </c>
      <c r="F38" s="949"/>
      <c r="G38" s="1077"/>
      <c r="H38" s="1083"/>
      <c r="I38" s="1084"/>
      <c r="J38"/>
      <c r="K38"/>
    </row>
    <row r="39" spans="1:11">
      <c r="A39" s="785">
        <f t="shared" si="2"/>
        <v>25</v>
      </c>
      <c r="B39" s="791" t="s">
        <v>575</v>
      </c>
      <c r="C39" s="1077">
        <v>1245387779.8342326</v>
      </c>
      <c r="D39" s="949"/>
      <c r="E39" s="1083">
        <v>70100877.995370001</v>
      </c>
      <c r="F39" s="949"/>
      <c r="G39" s="1077"/>
      <c r="H39" s="1083"/>
      <c r="I39" s="1084"/>
      <c r="J39"/>
      <c r="K39"/>
    </row>
    <row r="40" spans="1:11">
      <c r="A40" s="785">
        <f t="shared" si="2"/>
        <v>26</v>
      </c>
      <c r="B40" s="791" t="s">
        <v>576</v>
      </c>
      <c r="C40" s="1077">
        <v>1262351936.4477379</v>
      </c>
      <c r="D40" s="949"/>
      <c r="E40" s="1083">
        <v>71556950.902313784</v>
      </c>
      <c r="F40" s="949"/>
      <c r="G40" s="1077"/>
      <c r="H40" s="1083"/>
      <c r="I40" s="1084"/>
      <c r="J40"/>
      <c r="K40"/>
    </row>
    <row r="41" spans="1:11">
      <c r="A41" s="792">
        <f t="shared" si="2"/>
        <v>27</v>
      </c>
      <c r="B41" s="793" t="s">
        <v>709</v>
      </c>
      <c r="C41" s="1078">
        <v>1278937417.8545978</v>
      </c>
      <c r="D41" s="790"/>
      <c r="E41" s="1083">
        <v>70498730.867404103</v>
      </c>
      <c r="F41" s="790"/>
      <c r="G41" s="1078"/>
      <c r="H41" s="1083"/>
      <c r="I41" s="1084"/>
      <c r="J41"/>
      <c r="K41"/>
    </row>
    <row r="42" spans="1:11" ht="13.5" thickBot="1">
      <c r="A42" s="799">
        <f t="shared" si="2"/>
        <v>28</v>
      </c>
      <c r="B42" s="800" t="s">
        <v>710</v>
      </c>
      <c r="C42" s="795">
        <f t="shared" ref="C42:G42" si="3">SUM(C29:C41)/13</f>
        <v>1179863368.2553153</v>
      </c>
      <c r="D42" s="795">
        <f t="shared" si="3"/>
        <v>0</v>
      </c>
      <c r="E42" s="795">
        <f t="shared" si="3"/>
        <v>67150197.309249222</v>
      </c>
      <c r="F42" s="795">
        <f t="shared" si="3"/>
        <v>0</v>
      </c>
      <c r="G42" s="795">
        <f t="shared" si="3"/>
        <v>0</v>
      </c>
      <c r="H42" s="1085"/>
      <c r="I42" s="1086"/>
      <c r="J42"/>
      <c r="K42"/>
    </row>
    <row r="43" spans="1:11" ht="13.5" thickTop="1">
      <c r="A43" s="47"/>
      <c r="B43" s="796"/>
      <c r="C43" s="797"/>
      <c r="D43" s="798"/>
      <c r="E43" s="798"/>
      <c r="F43" s="798"/>
      <c r="G43" s="797"/>
      <c r="H43"/>
      <c r="I43"/>
      <c r="J43"/>
      <c r="K43"/>
    </row>
    <row r="44" spans="1:11">
      <c r="A44" s="47"/>
      <c r="B44" s="796"/>
      <c r="C44" s="797"/>
      <c r="D44" s="798"/>
      <c r="E44" s="798"/>
      <c r="F44" s="798"/>
      <c r="G44" s="797"/>
      <c r="H44" s="797"/>
      <c r="I44" s="797"/>
    </row>
    <row r="45" spans="1:11">
      <c r="A45" s="801"/>
      <c r="B45" s="802"/>
      <c r="C45" s="803"/>
      <c r="D45" s="804"/>
      <c r="E45" s="804"/>
      <c r="F45" s="804"/>
      <c r="G45" s="1096"/>
      <c r="H45" s="1097"/>
    </row>
    <row r="46" spans="1:11" ht="72" customHeight="1">
      <c r="A46" s="805" t="s">
        <v>697</v>
      </c>
      <c r="B46" s="780" t="s">
        <v>698</v>
      </c>
      <c r="C46" s="806" t="s">
        <v>713</v>
      </c>
      <c r="D46" s="784" t="s">
        <v>714</v>
      </c>
      <c r="E46" s="784" t="s">
        <v>715</v>
      </c>
      <c r="F46" s="784" t="s">
        <v>716</v>
      </c>
      <c r="G46" s="1098"/>
      <c r="H46" s="1099"/>
    </row>
    <row r="47" spans="1:11" s="787" customFormat="1">
      <c r="A47" s="785"/>
      <c r="B47" s="780" t="s">
        <v>702</v>
      </c>
      <c r="C47" s="807" t="s">
        <v>717</v>
      </c>
      <c r="D47" s="780" t="s">
        <v>718</v>
      </c>
      <c r="E47" s="780" t="s">
        <v>703</v>
      </c>
      <c r="F47" s="780" t="s">
        <v>704</v>
      </c>
      <c r="G47" s="1088"/>
      <c r="H47" s="1100"/>
    </row>
    <row r="48" spans="1:11" s="787" customFormat="1" ht="51">
      <c r="A48" s="785"/>
      <c r="B48" s="780" t="s">
        <v>705</v>
      </c>
      <c r="C48" s="808" t="str">
        <f>"Company Records (included in total in column "&amp;C8&amp;" of gross plant above)"</f>
        <v>Company Records (included in total in column (b) of gross plant above)</v>
      </c>
      <c r="D48" s="808" t="str">
        <f>"Company Records (included in total in column "&amp;C27&amp;" of accumulated depreciation above)"</f>
        <v>Company Records (included in total in column (b) of accumulated depreciation above)</v>
      </c>
      <c r="E48" s="809" t="s">
        <v>712</v>
      </c>
      <c r="F48" s="809" t="s">
        <v>712</v>
      </c>
      <c r="G48" s="1101"/>
      <c r="H48" s="1102"/>
    </row>
    <row r="49" spans="1:9">
      <c r="A49" s="785">
        <f>+A42+1</f>
        <v>29</v>
      </c>
      <c r="B49" s="810" t="s">
        <v>706</v>
      </c>
      <c r="C49" s="811">
        <v>0</v>
      </c>
      <c r="D49" s="790">
        <v>0</v>
      </c>
      <c r="E49" s="790">
        <v>0</v>
      </c>
      <c r="F49" s="1095">
        <v>0</v>
      </c>
      <c r="G49" s="1089"/>
      <c r="H49" s="1090"/>
    </row>
    <row r="50" spans="1:9">
      <c r="A50" s="785">
        <f>+A49+1</f>
        <v>30</v>
      </c>
      <c r="B50" s="810" t="s">
        <v>566</v>
      </c>
      <c r="C50" s="950">
        <v>0</v>
      </c>
      <c r="D50" s="949">
        <v>0</v>
      </c>
      <c r="E50" s="949">
        <v>0</v>
      </c>
      <c r="F50" s="1095">
        <v>0</v>
      </c>
      <c r="G50" s="1089"/>
      <c r="H50" s="1091"/>
    </row>
    <row r="51" spans="1:9">
      <c r="A51" s="785">
        <f t="shared" ref="A51:A62" si="4">+A50+1</f>
        <v>31</v>
      </c>
      <c r="B51" s="796" t="s">
        <v>567</v>
      </c>
      <c r="C51" s="950">
        <v>0</v>
      </c>
      <c r="D51" s="949">
        <v>0</v>
      </c>
      <c r="E51" s="949">
        <v>0</v>
      </c>
      <c r="F51" s="1095">
        <v>0</v>
      </c>
      <c r="G51" s="1089"/>
      <c r="H51" s="1091"/>
    </row>
    <row r="52" spans="1:9">
      <c r="A52" s="785">
        <f t="shared" si="4"/>
        <v>32</v>
      </c>
      <c r="B52" s="796" t="s">
        <v>707</v>
      </c>
      <c r="C52" s="950">
        <v>0</v>
      </c>
      <c r="D52" s="949">
        <v>0</v>
      </c>
      <c r="E52" s="949">
        <v>0</v>
      </c>
      <c r="F52" s="1095">
        <v>0</v>
      </c>
      <c r="G52" s="1089"/>
      <c r="H52" s="1091"/>
    </row>
    <row r="53" spans="1:9">
      <c r="A53" s="785">
        <f t="shared" si="4"/>
        <v>33</v>
      </c>
      <c r="B53" s="796" t="s">
        <v>569</v>
      </c>
      <c r="C53" s="950">
        <v>0</v>
      </c>
      <c r="D53" s="949">
        <v>0</v>
      </c>
      <c r="E53" s="949">
        <v>0</v>
      </c>
      <c r="F53" s="1095">
        <v>0</v>
      </c>
      <c r="G53" s="1089"/>
      <c r="H53" s="1091"/>
    </row>
    <row r="54" spans="1:9">
      <c r="A54" s="785">
        <f t="shared" si="4"/>
        <v>34</v>
      </c>
      <c r="B54" s="796" t="s">
        <v>570</v>
      </c>
      <c r="C54" s="950">
        <v>0</v>
      </c>
      <c r="D54" s="949">
        <v>0</v>
      </c>
      <c r="E54" s="949">
        <v>0</v>
      </c>
      <c r="F54" s="1095">
        <v>0</v>
      </c>
      <c r="G54" s="1089"/>
      <c r="H54" s="1091"/>
    </row>
    <row r="55" spans="1:9">
      <c r="A55" s="785">
        <f t="shared" si="4"/>
        <v>35</v>
      </c>
      <c r="B55" s="796" t="s">
        <v>571</v>
      </c>
      <c r="C55" s="950">
        <v>0</v>
      </c>
      <c r="D55" s="949">
        <v>0</v>
      </c>
      <c r="E55" s="949">
        <v>0</v>
      </c>
      <c r="F55" s="1095">
        <v>0</v>
      </c>
      <c r="G55" s="1089"/>
      <c r="H55" s="1091"/>
    </row>
    <row r="56" spans="1:9">
      <c r="A56" s="785">
        <f t="shared" si="4"/>
        <v>36</v>
      </c>
      <c r="B56" s="796" t="s">
        <v>572</v>
      </c>
      <c r="C56" s="950">
        <v>0</v>
      </c>
      <c r="D56" s="949">
        <v>0</v>
      </c>
      <c r="E56" s="949">
        <v>0</v>
      </c>
      <c r="F56" s="1095">
        <v>0</v>
      </c>
      <c r="G56" s="1089"/>
      <c r="H56" s="1091"/>
    </row>
    <row r="57" spans="1:9">
      <c r="A57" s="785">
        <f t="shared" si="4"/>
        <v>37</v>
      </c>
      <c r="B57" s="796" t="s">
        <v>708</v>
      </c>
      <c r="C57" s="950">
        <v>0</v>
      </c>
      <c r="D57" s="949">
        <v>0</v>
      </c>
      <c r="E57" s="949">
        <v>0</v>
      </c>
      <c r="F57" s="1095">
        <v>0</v>
      </c>
      <c r="G57" s="1089"/>
      <c r="H57" s="1091"/>
    </row>
    <row r="58" spans="1:9">
      <c r="A58" s="785">
        <f t="shared" si="4"/>
        <v>38</v>
      </c>
      <c r="B58" s="796" t="s">
        <v>574</v>
      </c>
      <c r="C58" s="950">
        <v>0</v>
      </c>
      <c r="D58" s="949">
        <v>0</v>
      </c>
      <c r="E58" s="949">
        <v>0</v>
      </c>
      <c r="F58" s="1095">
        <v>0</v>
      </c>
      <c r="G58" s="1089"/>
      <c r="H58" s="1091"/>
    </row>
    <row r="59" spans="1:9">
      <c r="A59" s="785">
        <f t="shared" si="4"/>
        <v>39</v>
      </c>
      <c r="B59" s="796" t="s">
        <v>575</v>
      </c>
      <c r="C59" s="950">
        <v>0</v>
      </c>
      <c r="D59" s="949">
        <v>0</v>
      </c>
      <c r="E59" s="949">
        <v>0</v>
      </c>
      <c r="F59" s="1095">
        <v>0</v>
      </c>
      <c r="G59" s="1089"/>
      <c r="H59" s="1091"/>
    </row>
    <row r="60" spans="1:9">
      <c r="A60" s="785">
        <f t="shared" si="4"/>
        <v>40</v>
      </c>
      <c r="B60" s="796" t="s">
        <v>576</v>
      </c>
      <c r="C60" s="950">
        <v>0</v>
      </c>
      <c r="D60" s="949">
        <v>0</v>
      </c>
      <c r="E60" s="949">
        <v>0</v>
      </c>
      <c r="F60" s="1095">
        <v>0</v>
      </c>
      <c r="G60" s="1089"/>
      <c r="H60" s="1091"/>
    </row>
    <row r="61" spans="1:9">
      <c r="A61" s="792">
        <f t="shared" si="4"/>
        <v>41</v>
      </c>
      <c r="B61" s="812" t="s">
        <v>709</v>
      </c>
      <c r="C61" s="813">
        <v>0</v>
      </c>
      <c r="D61" s="790">
        <v>0</v>
      </c>
      <c r="E61" s="790">
        <v>0</v>
      </c>
      <c r="F61" s="1095">
        <v>0</v>
      </c>
      <c r="G61" s="1089"/>
      <c r="H61" s="1092"/>
    </row>
    <row r="62" spans="1:9" ht="13.5" thickBot="1">
      <c r="A62" s="814">
        <f t="shared" si="4"/>
        <v>42</v>
      </c>
      <c r="B62" s="800" t="s">
        <v>710</v>
      </c>
      <c r="C62" s="795">
        <f>SUM(C49:C61)/13</f>
        <v>0</v>
      </c>
      <c r="D62" s="795">
        <f>SUM(D49:D61)/13</f>
        <v>0</v>
      </c>
      <c r="E62" s="795">
        <f>SUM(E49:E61)/13</f>
        <v>0</v>
      </c>
      <c r="F62" s="795">
        <f>SUM(F49:F61)/13</f>
        <v>0</v>
      </c>
      <c r="G62" s="1085"/>
      <c r="H62" s="1086"/>
    </row>
    <row r="63" spans="1:9" ht="13.5" thickTop="1">
      <c r="A63" s="47"/>
      <c r="B63" s="796"/>
      <c r="I63" s="798"/>
    </row>
    <row r="64" spans="1:9">
      <c r="A64" s="47">
        <v>43</v>
      </c>
      <c r="B64" s="1147" t="s">
        <v>1000</v>
      </c>
      <c r="C64" s="506">
        <f>+C42-D62-F62</f>
        <v>1179863368.2553153</v>
      </c>
      <c r="I64" s="798"/>
    </row>
    <row r="65" spans="1:6" customFormat="1">
      <c r="B65" s="1147"/>
    </row>
    <row r="66" spans="1:6" customFormat="1"/>
    <row r="67" spans="1:6" customFormat="1" ht="25.5">
      <c r="A67" s="817" t="s">
        <v>322</v>
      </c>
      <c r="B67" s="298"/>
      <c r="C67" s="818" t="s">
        <v>320</v>
      </c>
      <c r="D67" s="819" t="str">
        <f>"Balance @ December 31, "&amp;TCOS!L4&amp;""</f>
        <v>Balance @ December 31, 2026</v>
      </c>
      <c r="E67" s="820" t="str">
        <f>"Balance @ December 31, "&amp;TCOS!L4-1&amp;""</f>
        <v>Balance @ December 31, 2025</v>
      </c>
      <c r="F67" s="820" t="str">
        <f>"Average Balance for "&amp;TCOS!L4&amp;""</f>
        <v>Average Balance for 2026</v>
      </c>
    </row>
    <row r="68" spans="1:6" customFormat="1">
      <c r="A68" s="821"/>
      <c r="B68" s="780" t="s">
        <v>702</v>
      </c>
      <c r="C68" s="780" t="s">
        <v>717</v>
      </c>
      <c r="D68" s="780" t="s">
        <v>718</v>
      </c>
      <c r="E68" s="780" t="s">
        <v>703</v>
      </c>
      <c r="F68" s="780" t="s">
        <v>704</v>
      </c>
    </row>
    <row r="69" spans="1:6" customFormat="1">
      <c r="A69" s="298">
        <f>+A64+1</f>
        <v>44</v>
      </c>
      <c r="B69" s="821" t="s">
        <v>322</v>
      </c>
      <c r="C69" s="302" t="s">
        <v>169</v>
      </c>
      <c r="D69" s="307">
        <v>0</v>
      </c>
      <c r="E69" s="307">
        <v>0</v>
      </c>
      <c r="F69" s="822">
        <f>IF(E69="",0,AVERAGE(D69:E69))</f>
        <v>0</v>
      </c>
    </row>
    <row r="70" spans="1:6" customFormat="1">
      <c r="A70" s="301"/>
      <c r="B70" s="297"/>
      <c r="C70" s="297"/>
      <c r="F70" s="823"/>
    </row>
    <row r="71" spans="1:6" customFormat="1">
      <c r="A71" s="298">
        <f>+A69+1</f>
        <v>45</v>
      </c>
      <c r="B71" s="821" t="s">
        <v>768</v>
      </c>
      <c r="C71" s="824" t="s">
        <v>326</v>
      </c>
      <c r="D71" s="307">
        <v>0</v>
      </c>
      <c r="E71" s="307">
        <v>0</v>
      </c>
      <c r="F71" s="822">
        <f>IF(E71="",0,AVERAGE(D71:E71))</f>
        <v>0</v>
      </c>
    </row>
    <row r="72" spans="1:6" customFormat="1">
      <c r="A72" s="3"/>
      <c r="B72" s="3"/>
      <c r="C72" s="3"/>
      <c r="D72" s="3"/>
    </row>
    <row r="73" spans="1:6" customFormat="1">
      <c r="A73" s="821" t="s">
        <v>21</v>
      </c>
      <c r="B73" s="3"/>
      <c r="C73" s="3"/>
      <c r="D73" s="3"/>
    </row>
    <row r="74" spans="1:6" customFormat="1">
      <c r="A74" s="297"/>
      <c r="B74" s="297" t="s">
        <v>155</v>
      </c>
      <c r="C74" s="297"/>
      <c r="D74" s="297"/>
      <c r="E74" s="297"/>
      <c r="F74" s="297"/>
    </row>
    <row r="75" spans="1:6" customFormat="1">
      <c r="A75" s="298">
        <f>+A71+1</f>
        <v>46</v>
      </c>
      <c r="B75" s="825"/>
      <c r="C75" s="825"/>
      <c r="D75" s="307"/>
      <c r="E75" s="307"/>
      <c r="F75" s="822">
        <f>IF(E75="",0,AVERAGE(D75:E75))</f>
        <v>0</v>
      </c>
    </row>
    <row r="76" spans="1:6" customFormat="1">
      <c r="A76" s="298">
        <f>+A75+1</f>
        <v>47</v>
      </c>
      <c r="B76" s="825"/>
      <c r="C76" s="825"/>
      <c r="D76" s="307"/>
      <c r="E76" s="307"/>
      <c r="F76" s="822">
        <f>IF(E76="",0,AVERAGE(D76:E76))</f>
        <v>0</v>
      </c>
    </row>
    <row r="77" spans="1:6" customFormat="1">
      <c r="A77" s="298">
        <f>+A76+1</f>
        <v>48</v>
      </c>
      <c r="B77" s="825"/>
      <c r="C77" s="825"/>
      <c r="D77" s="307"/>
      <c r="E77" s="307"/>
      <c r="F77" s="822">
        <f>IF(E77="",0,AVERAGE(D77:E77))</f>
        <v>0</v>
      </c>
    </row>
    <row r="78" spans="1:6" customFormat="1">
      <c r="A78" s="298">
        <f>+A77+1</f>
        <v>49</v>
      </c>
      <c r="B78" s="825"/>
      <c r="C78" s="825"/>
      <c r="D78" s="307"/>
      <c r="E78" s="307"/>
      <c r="F78" s="822">
        <f>IF(E78="",0,AVERAGE(D78:E78))</f>
        <v>0</v>
      </c>
    </row>
    <row r="79" spans="1:6" customFormat="1">
      <c r="A79" s="298">
        <f>+A78+1</f>
        <v>50</v>
      </c>
      <c r="B79" s="825"/>
      <c r="C79" s="825"/>
      <c r="D79" s="826"/>
      <c r="E79" s="826"/>
      <c r="F79" s="827">
        <f>IF(E79="",0,AVERAGE(D79:E79))</f>
        <v>0</v>
      </c>
    </row>
    <row r="80" spans="1:6" customFormat="1" ht="18" customHeight="1">
      <c r="A80" s="298">
        <f>+A79+1</f>
        <v>51</v>
      </c>
      <c r="B80" s="297" t="s">
        <v>719</v>
      </c>
      <c r="C80" s="297"/>
      <c r="D80" s="828">
        <f>SUM(D75:D79)</f>
        <v>0</v>
      </c>
      <c r="E80" s="828">
        <f>SUM(E75:E79)</f>
        <v>0</v>
      </c>
      <c r="F80" s="828">
        <f>SUM(F75:F79)</f>
        <v>0</v>
      </c>
    </row>
    <row r="81" spans="1:6" customFormat="1" ht="17.25" customHeight="1">
      <c r="A81" s="298"/>
      <c r="B81" s="297"/>
      <c r="C81" s="297"/>
      <c r="D81" s="828"/>
      <c r="E81" s="828"/>
      <c r="F81" s="828"/>
    </row>
    <row r="82" spans="1:6" customFormat="1" ht="18.75" customHeight="1">
      <c r="A82" s="821" t="s">
        <v>720</v>
      </c>
      <c r="B82" s="829"/>
      <c r="C82" s="829"/>
      <c r="D82" s="829"/>
      <c r="E82" s="297"/>
      <c r="F82" s="297"/>
    </row>
    <row r="83" spans="1:6" customFormat="1" ht="31.5" customHeight="1">
      <c r="A83" s="298"/>
      <c r="B83" s="14"/>
      <c r="C83" s="352"/>
      <c r="D83" s="4"/>
      <c r="E83" s="297"/>
      <c r="F83" s="297"/>
    </row>
    <row r="84" spans="1:6" customFormat="1" ht="21.75" customHeight="1">
      <c r="A84" s="298">
        <f>+A80+1</f>
        <v>52</v>
      </c>
      <c r="B84" s="299" t="s">
        <v>457</v>
      </c>
      <c r="C84" s="299" t="s">
        <v>102</v>
      </c>
      <c r="D84" s="3"/>
      <c r="F84" s="299"/>
    </row>
    <row r="85" spans="1:6" customFormat="1" ht="14.25">
      <c r="A85" s="47" t="s">
        <v>721</v>
      </c>
      <c r="B85" s="830"/>
      <c r="C85" s="831"/>
      <c r="D85" s="307"/>
      <c r="E85" s="307"/>
      <c r="F85" s="832">
        <f>IF(E85="",0,AVERAGE(D85:E85))</f>
        <v>0</v>
      </c>
    </row>
    <row r="86" spans="1:6" customFormat="1" ht="14.25">
      <c r="A86" s="47" t="s">
        <v>722</v>
      </c>
      <c r="B86" s="307"/>
      <c r="C86" s="831"/>
      <c r="D86" s="307"/>
      <c r="E86" s="307"/>
      <c r="F86" s="833">
        <f>IF(E86="",0,AVERAGE(D86:E86))</f>
        <v>0</v>
      </c>
    </row>
    <row r="87" spans="1:6" customFormat="1" ht="18" customHeight="1">
      <c r="A87" s="1">
        <f>A84+2</f>
        <v>54</v>
      </c>
      <c r="C87" s="3" t="s">
        <v>410</v>
      </c>
      <c r="D87" s="506">
        <f>SUM(D85:D86)</f>
        <v>0</v>
      </c>
      <c r="E87" s="506">
        <f>SUM(E85:E86)</f>
        <v>0</v>
      </c>
      <c r="F87" s="506">
        <f>SUM(F85:F86)</f>
        <v>0</v>
      </c>
    </row>
    <row r="88" spans="1:6" customFormat="1">
      <c r="A88" s="298"/>
      <c r="B88" s="297"/>
      <c r="C88" s="297"/>
      <c r="D88" s="297"/>
    </row>
    <row r="89" spans="1:6">
      <c r="A89" s="305" t="s">
        <v>723</v>
      </c>
      <c r="B89" s="297"/>
      <c r="C89" s="297"/>
      <c r="D89" s="297"/>
    </row>
    <row r="90" spans="1:6">
      <c r="A90" s="305" t="s">
        <v>724</v>
      </c>
      <c r="B90" s="297"/>
      <c r="C90" s="297"/>
      <c r="D90" s="297"/>
    </row>
  </sheetData>
  <mergeCells count="7">
    <mergeCell ref="B64:B65"/>
    <mergeCell ref="A1:G1"/>
    <mergeCell ref="A2:G2"/>
    <mergeCell ref="A3:G3"/>
    <mergeCell ref="A4:G4"/>
    <mergeCell ref="C6:I6"/>
    <mergeCell ref="C25:I25"/>
  </mergeCells>
  <pageMargins left="0.7" right="0.7" top="0.75" bottom="0.75" header="0.3" footer="0.3"/>
  <pageSetup scale="69"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L76"/>
  <sheetViews>
    <sheetView topLeftCell="A22" zoomScale="90" zoomScaleNormal="90" zoomScaleSheetLayoutView="70" workbookViewId="0">
      <selection activeCell="E50" sqref="E50"/>
    </sheetView>
  </sheetViews>
  <sheetFormatPr defaultColWidth="11.42578125" defaultRowHeight="12.75"/>
  <cols>
    <col min="1" max="1" width="10.28515625" style="859" customWidth="1"/>
    <col min="2" max="2" width="52.28515625" style="834" customWidth="1"/>
    <col min="3" max="7" width="20.28515625" style="834" customWidth="1"/>
    <col min="8" max="8" width="23" style="834" customWidth="1"/>
    <col min="9" max="11" width="20.28515625" style="834" customWidth="1"/>
    <col min="12" max="12" width="20" style="834" customWidth="1"/>
    <col min="13" max="14" width="15.140625" style="834" customWidth="1"/>
    <col min="15" max="16384" width="11.42578125" style="834"/>
  </cols>
  <sheetData>
    <row r="1" spans="1:12" ht="15">
      <c r="A1" s="1210" t="str">
        <f>TCOS!F5</f>
        <v>AEPTCo subsidiaries in PJM</v>
      </c>
      <c r="B1" s="1210" t="s">
        <v>321</v>
      </c>
      <c r="C1" s="1210" t="s">
        <v>321</v>
      </c>
      <c r="D1" s="1210" t="s">
        <v>321</v>
      </c>
      <c r="E1" s="1210" t="s">
        <v>321</v>
      </c>
      <c r="F1" s="1210" t="s">
        <v>321</v>
      </c>
      <c r="G1" s="1210" t="s">
        <v>321</v>
      </c>
      <c r="H1" s="742"/>
    </row>
    <row r="2" spans="1:12" ht="15">
      <c r="A2" s="1149" t="str">
        <f>"Cost of Service Formula Rate Using Actual/Projected FF1 Balances"</f>
        <v>Cost of Service Formula Rate Using Actual/Projected FF1 Balances</v>
      </c>
      <c r="B2" s="1149"/>
      <c r="C2" s="1149"/>
      <c r="D2" s="1149"/>
      <c r="E2" s="1149"/>
      <c r="F2" s="1149"/>
      <c r="G2" s="1149"/>
      <c r="H2" s="835"/>
      <c r="I2" s="835"/>
      <c r="J2" s="835"/>
      <c r="L2" s="836"/>
    </row>
    <row r="3" spans="1:12" ht="15">
      <c r="A3" s="1149" t="s">
        <v>725</v>
      </c>
      <c r="B3" s="1149"/>
      <c r="C3" s="1149"/>
      <c r="D3" s="1149"/>
      <c r="E3" s="1149"/>
      <c r="F3" s="1149"/>
      <c r="G3" s="1149"/>
      <c r="H3" s="835"/>
      <c r="I3" s="835"/>
      <c r="J3" s="835"/>
    </row>
    <row r="4" spans="1:12" ht="15">
      <c r="A4" s="1150" t="str">
        <f>TCOS!F9</f>
        <v>AEP Ohio Transmission Company</v>
      </c>
      <c r="B4" s="1150"/>
      <c r="C4" s="1150"/>
      <c r="D4" s="1150"/>
      <c r="E4" s="1150"/>
      <c r="F4" s="1150"/>
      <c r="G4" s="1150"/>
      <c r="H4" s="835"/>
      <c r="I4" s="835"/>
      <c r="J4" s="835"/>
    </row>
    <row r="5" spans="1:12">
      <c r="A5" s="835"/>
      <c r="B5" s="837"/>
      <c r="C5" s="837"/>
      <c r="D5" s="837"/>
      <c r="E5" s="838"/>
      <c r="F5" s="839"/>
      <c r="H5" s="741"/>
      <c r="I5" s="741"/>
      <c r="J5" s="741"/>
      <c r="K5" s="741"/>
      <c r="L5" s="741"/>
    </row>
    <row r="6" spans="1:12" ht="12.75" customHeight="1">
      <c r="A6" s="742"/>
      <c r="B6" s="778"/>
      <c r="C6" s="1151" t="s">
        <v>331</v>
      </c>
      <c r="D6" s="1152"/>
      <c r="E6" s="1152"/>
      <c r="F6" s="1152"/>
      <c r="G6" s="1153"/>
      <c r="H6" s="741"/>
      <c r="I6" s="741"/>
      <c r="J6" s="741"/>
      <c r="K6" s="741"/>
      <c r="L6" s="741"/>
    </row>
    <row r="7" spans="1:12" s="842" customFormat="1" ht="38.25">
      <c r="A7" s="840" t="s">
        <v>697</v>
      </c>
      <c r="B7" s="783" t="s">
        <v>698</v>
      </c>
      <c r="C7" s="806" t="s">
        <v>726</v>
      </c>
      <c r="D7" s="784" t="s">
        <v>163</v>
      </c>
      <c r="E7" s="784" t="s">
        <v>727</v>
      </c>
      <c r="F7" s="784" t="s">
        <v>728</v>
      </c>
      <c r="G7" s="841" t="s">
        <v>331</v>
      </c>
      <c r="H7" s="741"/>
      <c r="I7" s="741"/>
      <c r="J7" s="741"/>
      <c r="K7" s="741"/>
      <c r="L7" s="741"/>
    </row>
    <row r="8" spans="1:12" s="845" customFormat="1">
      <c r="A8" s="843"/>
      <c r="B8" s="786" t="s">
        <v>702</v>
      </c>
      <c r="C8" s="807" t="s">
        <v>717</v>
      </c>
      <c r="D8" s="780" t="s">
        <v>718</v>
      </c>
      <c r="E8" s="780" t="s">
        <v>703</v>
      </c>
      <c r="F8" s="780" t="s">
        <v>704</v>
      </c>
      <c r="G8" s="844" t="s">
        <v>729</v>
      </c>
      <c r="H8" s="741"/>
      <c r="I8" s="741"/>
      <c r="J8" s="741"/>
      <c r="K8" s="741"/>
      <c r="L8" s="741"/>
    </row>
    <row r="9" spans="1:12" s="845" customFormat="1" ht="44.25" customHeight="1">
      <c r="A9" s="843"/>
      <c r="B9" s="786" t="s">
        <v>705</v>
      </c>
      <c r="C9" s="846" t="s">
        <v>730</v>
      </c>
      <c r="D9" s="788" t="s">
        <v>731</v>
      </c>
      <c r="E9" s="788" t="s">
        <v>732</v>
      </c>
      <c r="F9" s="788" t="s">
        <v>733</v>
      </c>
      <c r="G9" s="847"/>
      <c r="H9" s="741"/>
      <c r="I9" s="741"/>
      <c r="J9" s="741"/>
      <c r="K9" s="741"/>
      <c r="L9" s="741"/>
    </row>
    <row r="10" spans="1:12">
      <c r="A10" s="843">
        <v>1</v>
      </c>
      <c r="B10" s="789" t="s">
        <v>706</v>
      </c>
      <c r="C10" s="848">
        <v>3256931260.6049371</v>
      </c>
      <c r="D10" s="848">
        <v>0</v>
      </c>
      <c r="E10" s="848">
        <v>0</v>
      </c>
      <c r="F10" s="848">
        <v>0</v>
      </c>
      <c r="G10" s="849">
        <f>+C10-D10-E10-F10</f>
        <v>3256931260.6049371</v>
      </c>
      <c r="H10" s="741"/>
      <c r="I10" s="741"/>
      <c r="J10" s="741"/>
      <c r="K10" s="741"/>
      <c r="L10" s="741"/>
    </row>
    <row r="11" spans="1:12">
      <c r="A11" s="843">
        <f>+A10+1</f>
        <v>2</v>
      </c>
      <c r="B11" s="789" t="s">
        <v>566</v>
      </c>
      <c r="C11" s="848">
        <v>3287670246.0095139</v>
      </c>
      <c r="D11" s="951">
        <v>0</v>
      </c>
      <c r="E11" s="951">
        <v>0</v>
      </c>
      <c r="F11" s="951">
        <v>0</v>
      </c>
      <c r="G11" s="849">
        <f t="shared" ref="G11:G22" si="0">+C11-D11-E11-F11</f>
        <v>3287670246.0095139</v>
      </c>
      <c r="H11" s="741"/>
      <c r="I11" s="741"/>
      <c r="J11" s="741"/>
      <c r="K11" s="741"/>
      <c r="L11" s="741"/>
    </row>
    <row r="12" spans="1:12">
      <c r="A12" s="843">
        <f t="shared" ref="A12:A23" si="1">+A11+1</f>
        <v>3</v>
      </c>
      <c r="B12" s="791" t="s">
        <v>567</v>
      </c>
      <c r="C12" s="848">
        <v>3367669279.8493667</v>
      </c>
      <c r="D12" s="951">
        <v>0</v>
      </c>
      <c r="E12" s="951">
        <v>0</v>
      </c>
      <c r="F12" s="951">
        <v>0</v>
      </c>
      <c r="G12" s="849">
        <f t="shared" si="0"/>
        <v>3367669279.8493667</v>
      </c>
      <c r="H12" s="741"/>
      <c r="I12" s="741"/>
      <c r="J12" s="741"/>
      <c r="K12" s="741"/>
      <c r="L12" s="741"/>
    </row>
    <row r="13" spans="1:12">
      <c r="A13" s="843">
        <f t="shared" si="1"/>
        <v>4</v>
      </c>
      <c r="B13" s="791" t="s">
        <v>707</v>
      </c>
      <c r="C13" s="848">
        <v>3398965577.7055688</v>
      </c>
      <c r="D13" s="951">
        <v>0</v>
      </c>
      <c r="E13" s="951">
        <v>0</v>
      </c>
      <c r="F13" s="951">
        <v>0</v>
      </c>
      <c r="G13" s="849">
        <f t="shared" si="0"/>
        <v>3398965577.7055688</v>
      </c>
      <c r="H13" s="741"/>
      <c r="I13" s="741"/>
      <c r="J13" s="741"/>
      <c r="K13" s="741"/>
      <c r="L13" s="741"/>
    </row>
    <row r="14" spans="1:12">
      <c r="A14" s="843">
        <f t="shared" si="1"/>
        <v>5</v>
      </c>
      <c r="B14" s="791" t="s">
        <v>569</v>
      </c>
      <c r="C14" s="848">
        <v>3428120069.0153084</v>
      </c>
      <c r="D14" s="951">
        <v>0</v>
      </c>
      <c r="E14" s="951">
        <v>0</v>
      </c>
      <c r="F14" s="951">
        <v>0</v>
      </c>
      <c r="G14" s="849">
        <f t="shared" si="0"/>
        <v>3428120069.0153084</v>
      </c>
      <c r="H14" s="741"/>
      <c r="I14" s="741"/>
      <c r="J14" s="741"/>
      <c r="K14" s="741"/>
      <c r="L14" s="741"/>
    </row>
    <row r="15" spans="1:12">
      <c r="A15" s="843">
        <f t="shared" si="1"/>
        <v>6</v>
      </c>
      <c r="B15" s="791" t="s">
        <v>570</v>
      </c>
      <c r="C15" s="848">
        <v>3435675038.6351409</v>
      </c>
      <c r="D15" s="951">
        <v>0</v>
      </c>
      <c r="E15" s="951">
        <v>0</v>
      </c>
      <c r="F15" s="951">
        <v>0</v>
      </c>
      <c r="G15" s="849">
        <f t="shared" si="0"/>
        <v>3435675038.6351409</v>
      </c>
      <c r="H15" s="741"/>
      <c r="I15" s="741"/>
      <c r="J15" s="741"/>
      <c r="K15" s="741"/>
      <c r="L15" s="741"/>
    </row>
    <row r="16" spans="1:12">
      <c r="A16" s="843">
        <f t="shared" si="1"/>
        <v>7</v>
      </c>
      <c r="B16" s="791" t="s">
        <v>571</v>
      </c>
      <c r="C16" s="848">
        <v>3465272593.7536206</v>
      </c>
      <c r="D16" s="951">
        <v>0</v>
      </c>
      <c r="E16" s="951">
        <v>0</v>
      </c>
      <c r="F16" s="951">
        <v>0</v>
      </c>
      <c r="G16" s="849">
        <f t="shared" si="0"/>
        <v>3465272593.7536206</v>
      </c>
      <c r="H16" s="741"/>
      <c r="I16" s="741"/>
      <c r="J16" s="741"/>
      <c r="K16" s="741"/>
      <c r="L16" s="741"/>
    </row>
    <row r="17" spans="1:12">
      <c r="A17" s="843">
        <f t="shared" si="1"/>
        <v>8</v>
      </c>
      <c r="B17" s="791" t="s">
        <v>572</v>
      </c>
      <c r="C17" s="848">
        <v>3495949606.5087156</v>
      </c>
      <c r="D17" s="951">
        <v>0</v>
      </c>
      <c r="E17" s="951">
        <v>0</v>
      </c>
      <c r="F17" s="951">
        <v>0</v>
      </c>
      <c r="G17" s="849">
        <f t="shared" si="0"/>
        <v>3495949606.5087156</v>
      </c>
      <c r="H17" s="741"/>
      <c r="I17" s="741"/>
      <c r="J17" s="741"/>
      <c r="K17" s="741"/>
      <c r="L17" s="741"/>
    </row>
    <row r="18" spans="1:12">
      <c r="A18" s="843">
        <f t="shared" si="1"/>
        <v>9</v>
      </c>
      <c r="B18" s="791" t="s">
        <v>708</v>
      </c>
      <c r="C18" s="848">
        <v>3511097939.8051887</v>
      </c>
      <c r="D18" s="951">
        <v>0</v>
      </c>
      <c r="E18" s="951">
        <v>0</v>
      </c>
      <c r="F18" s="951">
        <v>0</v>
      </c>
      <c r="G18" s="849">
        <f t="shared" si="0"/>
        <v>3511097939.8051887</v>
      </c>
      <c r="H18" s="741"/>
      <c r="I18" s="741"/>
      <c r="J18" s="741"/>
      <c r="K18" s="741"/>
      <c r="L18" s="741"/>
    </row>
    <row r="19" spans="1:12">
      <c r="A19" s="843">
        <f t="shared" si="1"/>
        <v>10</v>
      </c>
      <c r="B19" s="791" t="s">
        <v>574</v>
      </c>
      <c r="C19" s="848">
        <v>3539438640.659934</v>
      </c>
      <c r="D19" s="951">
        <v>0</v>
      </c>
      <c r="E19" s="951">
        <v>0</v>
      </c>
      <c r="F19" s="951">
        <v>0</v>
      </c>
      <c r="G19" s="849">
        <f t="shared" si="0"/>
        <v>3539438640.659934</v>
      </c>
      <c r="H19" s="741"/>
      <c r="I19" s="741"/>
      <c r="J19" s="741"/>
      <c r="K19" s="741"/>
      <c r="L19" s="741"/>
    </row>
    <row r="20" spans="1:12">
      <c r="A20" s="843">
        <f t="shared" si="1"/>
        <v>11</v>
      </c>
      <c r="B20" s="791" t="s">
        <v>575</v>
      </c>
      <c r="C20" s="848">
        <v>3569737712.0925589</v>
      </c>
      <c r="D20" s="951">
        <v>0</v>
      </c>
      <c r="E20" s="951">
        <v>0</v>
      </c>
      <c r="F20" s="951">
        <v>0</v>
      </c>
      <c r="G20" s="849">
        <f t="shared" si="0"/>
        <v>3569737712.0925589</v>
      </c>
      <c r="H20" s="741"/>
      <c r="I20" s="741"/>
      <c r="J20" s="741"/>
      <c r="K20" s="741"/>
      <c r="L20" s="741"/>
    </row>
    <row r="21" spans="1:12">
      <c r="A21" s="843">
        <f t="shared" si="1"/>
        <v>12</v>
      </c>
      <c r="B21" s="791" t="s">
        <v>576</v>
      </c>
      <c r="C21" s="848">
        <v>3596464672.6909204</v>
      </c>
      <c r="D21" s="951">
        <v>0</v>
      </c>
      <c r="E21" s="951">
        <v>0</v>
      </c>
      <c r="F21" s="951">
        <v>0</v>
      </c>
      <c r="G21" s="849">
        <f t="shared" si="0"/>
        <v>3596464672.6909204</v>
      </c>
      <c r="H21" s="741"/>
      <c r="I21" s="741"/>
      <c r="J21" s="741"/>
      <c r="K21" s="741"/>
      <c r="L21" s="741"/>
    </row>
    <row r="22" spans="1:12">
      <c r="A22" s="850">
        <f t="shared" si="1"/>
        <v>13</v>
      </c>
      <c r="B22" s="793" t="s">
        <v>709</v>
      </c>
      <c r="C22" s="848">
        <v>3626414871.9569511</v>
      </c>
      <c r="D22" s="848">
        <v>0</v>
      </c>
      <c r="E22" s="848">
        <v>0</v>
      </c>
      <c r="F22" s="848">
        <v>0</v>
      </c>
      <c r="G22" s="849">
        <f t="shared" si="0"/>
        <v>3626414871.9569511</v>
      </c>
      <c r="H22" s="741"/>
      <c r="I22" s="741"/>
      <c r="J22" s="741"/>
      <c r="K22" s="741"/>
      <c r="L22" s="741"/>
    </row>
    <row r="23" spans="1:12" ht="13.5" thickBot="1">
      <c r="A23" s="850">
        <f t="shared" si="1"/>
        <v>14</v>
      </c>
      <c r="B23" s="794" t="s">
        <v>710</v>
      </c>
      <c r="C23" s="815">
        <f>SUM(C10:C22)/13</f>
        <v>3459954423.7913632</v>
      </c>
      <c r="D23" s="795">
        <f t="shared" ref="D23:G23" si="2">SUM(D10:D22)/13</f>
        <v>0</v>
      </c>
      <c r="E23" s="795">
        <f t="shared" si="2"/>
        <v>0</v>
      </c>
      <c r="F23" s="795">
        <f t="shared" si="2"/>
        <v>0</v>
      </c>
      <c r="G23" s="815">
        <f t="shared" si="2"/>
        <v>3459954423.7913632</v>
      </c>
      <c r="H23" s="741"/>
      <c r="I23" s="741"/>
      <c r="J23" s="741"/>
      <c r="K23" s="741"/>
      <c r="L23" s="741"/>
    </row>
    <row r="24" spans="1:12" ht="13.5" thickTop="1">
      <c r="A24" s="742"/>
      <c r="B24" s="796"/>
      <c r="C24" s="797"/>
      <c r="D24" s="798"/>
      <c r="E24" s="798"/>
      <c r="F24" s="798"/>
      <c r="G24" s="797"/>
      <c r="H24" s="797"/>
      <c r="I24" s="741"/>
      <c r="J24" s="741"/>
      <c r="K24" s="741"/>
      <c r="L24" s="741"/>
    </row>
    <row r="25" spans="1:12" ht="12.75" customHeight="1">
      <c r="A25" s="742"/>
      <c r="B25" s="778"/>
      <c r="C25" s="1211" t="s">
        <v>532</v>
      </c>
      <c r="D25" s="1212"/>
      <c r="E25" s="1212"/>
      <c r="F25" s="1212"/>
      <c r="G25" s="1212"/>
      <c r="H25" s="1213"/>
      <c r="I25" s="741"/>
      <c r="J25" s="741"/>
      <c r="K25" s="741"/>
      <c r="L25" s="741"/>
    </row>
    <row r="26" spans="1:12" s="842" customFormat="1" ht="38.25">
      <c r="A26" s="840" t="s">
        <v>697</v>
      </c>
      <c r="B26" s="783" t="s">
        <v>698</v>
      </c>
      <c r="C26" s="806" t="s">
        <v>734</v>
      </c>
      <c r="D26" s="784" t="s">
        <v>735</v>
      </c>
      <c r="E26" s="784" t="s">
        <v>749</v>
      </c>
      <c r="F26" s="784" t="s">
        <v>750</v>
      </c>
      <c r="G26" s="784" t="s">
        <v>736</v>
      </c>
      <c r="H26" s="841" t="s">
        <v>748</v>
      </c>
      <c r="I26" s="741"/>
      <c r="J26" s="741"/>
      <c r="K26" s="741"/>
      <c r="L26" s="741"/>
    </row>
    <row r="27" spans="1:12" s="845" customFormat="1">
      <c r="A27" s="843"/>
      <c r="B27" s="786" t="s">
        <v>702</v>
      </c>
      <c r="C27" s="807" t="s">
        <v>717</v>
      </c>
      <c r="D27" s="780" t="s">
        <v>718</v>
      </c>
      <c r="E27" s="780" t="s">
        <v>703</v>
      </c>
      <c r="F27" s="780" t="s">
        <v>704</v>
      </c>
      <c r="G27" s="780" t="s">
        <v>737</v>
      </c>
      <c r="H27" s="844" t="s">
        <v>738</v>
      </c>
      <c r="I27" s="741"/>
      <c r="J27" s="741"/>
      <c r="K27" s="741"/>
      <c r="L27" s="741"/>
    </row>
    <row r="28" spans="1:12" s="845" customFormat="1" ht="44.25" customHeight="1">
      <c r="A28" s="843"/>
      <c r="B28" s="786" t="s">
        <v>705</v>
      </c>
      <c r="C28" s="846" t="s">
        <v>739</v>
      </c>
      <c r="D28" s="788" t="s">
        <v>740</v>
      </c>
      <c r="E28" s="788" t="s">
        <v>741</v>
      </c>
      <c r="F28" s="788" t="s">
        <v>742</v>
      </c>
      <c r="G28" s="788" t="s">
        <v>743</v>
      </c>
      <c r="H28" s="851"/>
      <c r="I28" s="741"/>
      <c r="J28" s="741"/>
      <c r="K28" s="741"/>
      <c r="L28" s="741"/>
    </row>
    <row r="29" spans="1:12">
      <c r="A29" s="843">
        <f>+A23+1</f>
        <v>15</v>
      </c>
      <c r="B29" s="789" t="s">
        <v>706</v>
      </c>
      <c r="C29" s="951">
        <v>0</v>
      </c>
      <c r="D29" s="848">
        <v>0</v>
      </c>
      <c r="E29" s="848">
        <v>2567800000</v>
      </c>
      <c r="F29" s="848">
        <v>94276404.044805095</v>
      </c>
      <c r="G29" s="848">
        <v>0</v>
      </c>
      <c r="H29" s="849">
        <f>+C29-D29+E29+F29-G29</f>
        <v>2662076404.044805</v>
      </c>
      <c r="I29" s="741"/>
      <c r="J29" s="741"/>
      <c r="K29" s="741"/>
      <c r="L29" s="741"/>
    </row>
    <row r="30" spans="1:12">
      <c r="A30" s="843">
        <f>+A29+1</f>
        <v>16</v>
      </c>
      <c r="B30" s="789" t="s">
        <v>566</v>
      </c>
      <c r="C30" s="951">
        <v>0</v>
      </c>
      <c r="D30" s="951">
        <v>0</v>
      </c>
      <c r="E30" s="848">
        <v>2567800000</v>
      </c>
      <c r="F30" s="848">
        <v>64961159.325080283</v>
      </c>
      <c r="G30" s="951">
        <v>0</v>
      </c>
      <c r="H30" s="849">
        <f t="shared" ref="H30:H41" si="3">+C30-D30+E30+F30-G30</f>
        <v>2632761159.3250804</v>
      </c>
      <c r="I30" s="741"/>
      <c r="J30" s="741"/>
      <c r="K30" s="741"/>
      <c r="L30" s="741"/>
    </row>
    <row r="31" spans="1:12">
      <c r="A31" s="843">
        <f t="shared" ref="A31:A42" si="4">+A30+1</f>
        <v>17</v>
      </c>
      <c r="B31" s="791" t="s">
        <v>567</v>
      </c>
      <c r="C31" s="951">
        <v>0</v>
      </c>
      <c r="D31" s="951">
        <v>0</v>
      </c>
      <c r="E31" s="848">
        <v>2567800000</v>
      </c>
      <c r="F31" s="848">
        <v>154905845.97024333</v>
      </c>
      <c r="G31" s="951">
        <v>0</v>
      </c>
      <c r="H31" s="849">
        <f t="shared" si="3"/>
        <v>2722705845.9702435</v>
      </c>
      <c r="I31" s="741"/>
      <c r="J31" s="741"/>
      <c r="K31" s="741"/>
      <c r="L31" s="741"/>
    </row>
    <row r="32" spans="1:12">
      <c r="A32" s="843">
        <f t="shared" si="4"/>
        <v>18</v>
      </c>
      <c r="B32" s="791" t="s">
        <v>707</v>
      </c>
      <c r="C32" s="951">
        <v>0</v>
      </c>
      <c r="D32" s="951">
        <v>0</v>
      </c>
      <c r="E32" s="848">
        <v>2567800000</v>
      </c>
      <c r="F32" s="848">
        <v>159950383.36864412</v>
      </c>
      <c r="G32" s="951">
        <v>0</v>
      </c>
      <c r="H32" s="849">
        <f t="shared" si="3"/>
        <v>2727750383.3686442</v>
      </c>
      <c r="I32" s="741"/>
      <c r="J32" s="741"/>
      <c r="K32" s="741"/>
      <c r="L32" s="741"/>
    </row>
    <row r="33" spans="1:12">
      <c r="A33" s="843">
        <f t="shared" si="4"/>
        <v>19</v>
      </c>
      <c r="B33" s="791" t="s">
        <v>569</v>
      </c>
      <c r="C33" s="951">
        <v>0</v>
      </c>
      <c r="D33" s="951">
        <v>0</v>
      </c>
      <c r="E33" s="848">
        <v>2567800000</v>
      </c>
      <c r="F33" s="848">
        <v>141117967.12917253</v>
      </c>
      <c r="G33" s="951">
        <v>0</v>
      </c>
      <c r="H33" s="849">
        <f t="shared" si="3"/>
        <v>2708917967.1291723</v>
      </c>
      <c r="I33" s="741"/>
      <c r="J33" s="741"/>
      <c r="K33" s="741"/>
      <c r="L33" s="741"/>
    </row>
    <row r="34" spans="1:12">
      <c r="A34" s="843">
        <f t="shared" si="4"/>
        <v>20</v>
      </c>
      <c r="B34" s="791" t="s">
        <v>570</v>
      </c>
      <c r="C34" s="951">
        <v>0</v>
      </c>
      <c r="D34" s="951">
        <v>0</v>
      </c>
      <c r="E34" s="848">
        <v>2567800000</v>
      </c>
      <c r="F34" s="848">
        <v>125188742.0294417</v>
      </c>
      <c r="G34" s="951">
        <v>0</v>
      </c>
      <c r="H34" s="849">
        <f>+C34-D34+E34+F34-G34</f>
        <v>2692988742.0294418</v>
      </c>
      <c r="I34" s="741"/>
      <c r="J34" s="741"/>
      <c r="K34" s="741"/>
      <c r="L34" s="741"/>
    </row>
    <row r="35" spans="1:12">
      <c r="A35" s="843">
        <f t="shared" si="4"/>
        <v>21</v>
      </c>
      <c r="B35" s="791" t="s">
        <v>571</v>
      </c>
      <c r="C35" s="951">
        <v>0</v>
      </c>
      <c r="D35" s="951">
        <v>0</v>
      </c>
      <c r="E35" s="848">
        <v>2567800000</v>
      </c>
      <c r="F35" s="848">
        <v>432814803.73931468</v>
      </c>
      <c r="G35" s="951">
        <v>0</v>
      </c>
      <c r="H35" s="849">
        <f t="shared" si="3"/>
        <v>3000614803.7393146</v>
      </c>
      <c r="I35" s="741"/>
      <c r="J35" s="741"/>
      <c r="K35" s="741"/>
      <c r="L35" s="741"/>
    </row>
    <row r="36" spans="1:12">
      <c r="A36" s="843">
        <f t="shared" si="4"/>
        <v>22</v>
      </c>
      <c r="B36" s="791" t="s">
        <v>572</v>
      </c>
      <c r="C36" s="951">
        <v>0</v>
      </c>
      <c r="D36" s="951">
        <v>0</v>
      </c>
      <c r="E36" s="848">
        <v>2567800000</v>
      </c>
      <c r="F36" s="848">
        <v>455245563.97682101</v>
      </c>
      <c r="G36" s="951">
        <v>0</v>
      </c>
      <c r="H36" s="849">
        <f t="shared" si="3"/>
        <v>3023045563.9768209</v>
      </c>
      <c r="I36" s="741"/>
      <c r="J36" s="741"/>
      <c r="K36" s="741"/>
      <c r="L36" s="741"/>
    </row>
    <row r="37" spans="1:12">
      <c r="A37" s="843">
        <f t="shared" si="4"/>
        <v>23</v>
      </c>
      <c r="B37" s="791" t="s">
        <v>708</v>
      </c>
      <c r="C37" s="951">
        <v>0</v>
      </c>
      <c r="D37" s="951">
        <v>0</v>
      </c>
      <c r="E37" s="848">
        <v>2567800000</v>
      </c>
      <c r="F37" s="848">
        <v>438774354.47320503</v>
      </c>
      <c r="G37" s="951">
        <v>0</v>
      </c>
      <c r="H37" s="849">
        <f t="shared" si="3"/>
        <v>3006574354.4732051</v>
      </c>
      <c r="I37" s="741"/>
      <c r="J37" s="741"/>
      <c r="K37" s="741"/>
      <c r="L37" s="741"/>
    </row>
    <row r="38" spans="1:12">
      <c r="A38" s="843">
        <f t="shared" si="4"/>
        <v>24</v>
      </c>
      <c r="B38" s="791" t="s">
        <v>574</v>
      </c>
      <c r="C38" s="951">
        <v>0</v>
      </c>
      <c r="D38" s="951">
        <v>0</v>
      </c>
      <c r="E38" s="848">
        <v>2567800000</v>
      </c>
      <c r="F38" s="848">
        <v>444920190.04351574</v>
      </c>
      <c r="G38" s="951">
        <v>0</v>
      </c>
      <c r="H38" s="849">
        <f t="shared" si="3"/>
        <v>3012720190.0435157</v>
      </c>
      <c r="I38" s="741"/>
      <c r="J38" s="741"/>
      <c r="K38" s="741"/>
      <c r="L38" s="741"/>
    </row>
    <row r="39" spans="1:12">
      <c r="A39" s="843">
        <f t="shared" si="4"/>
        <v>25</v>
      </c>
      <c r="B39" s="791" t="s">
        <v>575</v>
      </c>
      <c r="C39" s="951">
        <v>0</v>
      </c>
      <c r="D39" s="951">
        <v>0</v>
      </c>
      <c r="E39" s="848">
        <v>2567800000</v>
      </c>
      <c r="F39" s="848">
        <v>430099657.31475085</v>
      </c>
      <c r="G39" s="951">
        <v>0</v>
      </c>
      <c r="H39" s="849">
        <f t="shared" si="3"/>
        <v>2997899657.3147507</v>
      </c>
      <c r="I39" s="741"/>
      <c r="J39" s="741"/>
      <c r="K39" s="741"/>
      <c r="L39" s="741"/>
    </row>
    <row r="40" spans="1:12">
      <c r="A40" s="843">
        <f t="shared" si="4"/>
        <v>26</v>
      </c>
      <c r="B40" s="791" t="s">
        <v>576</v>
      </c>
      <c r="C40" s="951">
        <v>0</v>
      </c>
      <c r="D40" s="951">
        <v>0</v>
      </c>
      <c r="E40" s="848">
        <v>2485800000</v>
      </c>
      <c r="F40" s="848">
        <v>336003528.84104872</v>
      </c>
      <c r="G40" s="951">
        <v>0</v>
      </c>
      <c r="H40" s="849">
        <f t="shared" si="3"/>
        <v>2821803528.8410487</v>
      </c>
      <c r="I40" s="741"/>
      <c r="J40" s="741"/>
      <c r="K40" s="741"/>
      <c r="L40" s="741"/>
    </row>
    <row r="41" spans="1:12">
      <c r="A41" s="850">
        <f t="shared" si="4"/>
        <v>27</v>
      </c>
      <c r="B41" s="793" t="s">
        <v>709</v>
      </c>
      <c r="C41" s="848">
        <v>0</v>
      </c>
      <c r="D41" s="848">
        <v>0</v>
      </c>
      <c r="E41" s="848">
        <v>2438800000</v>
      </c>
      <c r="F41" s="848">
        <v>330390000.74901807</v>
      </c>
      <c r="G41" s="848">
        <v>0</v>
      </c>
      <c r="H41" s="849">
        <f t="shared" si="3"/>
        <v>2769190000.7490182</v>
      </c>
      <c r="I41" s="741"/>
      <c r="J41" s="741"/>
      <c r="K41" s="741"/>
      <c r="L41" s="741"/>
    </row>
    <row r="42" spans="1:12" ht="13.5" thickBot="1">
      <c r="A42" s="853">
        <f t="shared" si="4"/>
        <v>28</v>
      </c>
      <c r="B42" s="800" t="s">
        <v>710</v>
      </c>
      <c r="C42" s="815">
        <f>SUM(C29:C41)/13</f>
        <v>0</v>
      </c>
      <c r="D42" s="795">
        <f t="shared" ref="D42" si="5">SUM(D29:D41)/13</f>
        <v>0</v>
      </c>
      <c r="E42" s="795">
        <f t="shared" ref="E42" si="6">SUM(E29:E41)/13</f>
        <v>2551569230.7692308</v>
      </c>
      <c r="F42" s="795">
        <f t="shared" ref="F42" si="7">SUM(F29:F41)/13</f>
        <v>277588353.92346627</v>
      </c>
      <c r="G42" s="795">
        <f t="shared" ref="G42:H42" si="8">SUM(G29:G41)/13</f>
        <v>0</v>
      </c>
      <c r="H42" s="815">
        <f t="shared" si="8"/>
        <v>2829157584.6926966</v>
      </c>
      <c r="I42" s="741"/>
      <c r="J42" s="741"/>
      <c r="K42" s="741"/>
      <c r="L42" s="741"/>
    </row>
    <row r="43" spans="1:12" ht="13.5" thickTop="1">
      <c r="A43" s="835"/>
      <c r="B43" s="854"/>
      <c r="C43" s="855"/>
      <c r="D43" s="856"/>
      <c r="E43" s="856"/>
      <c r="F43" s="856"/>
      <c r="G43" s="855"/>
      <c r="H43" s="855"/>
      <c r="I43" s="741"/>
      <c r="J43" s="741"/>
      <c r="K43" s="741"/>
      <c r="L43" s="741"/>
    </row>
    <row r="44" spans="1:12" ht="12.75" customHeight="1">
      <c r="A44" s="857" t="s">
        <v>744</v>
      </c>
      <c r="F44" s="858"/>
      <c r="G44" s="858"/>
      <c r="H44" s="858"/>
      <c r="I44" s="741"/>
      <c r="J44" s="741"/>
      <c r="K44" s="741"/>
    </row>
    <row r="45" spans="1:12">
      <c r="E45" s="858"/>
      <c r="F45" s="858"/>
      <c r="G45" s="858"/>
      <c r="H45" s="858"/>
      <c r="J45" s="854"/>
    </row>
    <row r="46" spans="1:12" ht="15">
      <c r="A46" s="860" t="s">
        <v>332</v>
      </c>
      <c r="E46" s="858"/>
      <c r="F46" s="858"/>
      <c r="G46" s="858"/>
      <c r="H46" s="742"/>
    </row>
    <row r="47" spans="1:12" ht="15">
      <c r="A47" s="860"/>
      <c r="B47" s="861" t="s">
        <v>702</v>
      </c>
      <c r="C47" s="861" t="s">
        <v>717</v>
      </c>
      <c r="D47" s="862" t="s">
        <v>718</v>
      </c>
      <c r="E47" s="861" t="s">
        <v>703</v>
      </c>
      <c r="F47" s="862" t="s">
        <v>704</v>
      </c>
      <c r="G47" s="861" t="s">
        <v>737</v>
      </c>
      <c r="H47" s="861" t="s">
        <v>745</v>
      </c>
    </row>
    <row r="48" spans="1:12">
      <c r="A48" s="496">
        <f>+A42+1</f>
        <v>29</v>
      </c>
      <c r="B48" s="863" t="str">
        <f>"Annual Interest Expense for "&amp;TCOS!L4</f>
        <v>Annual Interest Expense for 2026</v>
      </c>
      <c r="C48" s="864"/>
      <c r="D48" s="865"/>
      <c r="E48" s="866"/>
      <c r="F48" s="866"/>
      <c r="G48" s="866"/>
      <c r="H48" s="866"/>
      <c r="I48" s="866"/>
      <c r="J48" s="866"/>
      <c r="K48" s="866"/>
      <c r="L48" s="866"/>
    </row>
    <row r="49" spans="1:12">
      <c r="A49" s="496">
        <f>+A48+1</f>
        <v>30</v>
      </c>
      <c r="B49" s="921" t="s">
        <v>762</v>
      </c>
      <c r="C49" s="864"/>
      <c r="D49" s="865"/>
      <c r="E49" s="868">
        <v>126600397.05487375</v>
      </c>
      <c r="F49" s="866"/>
      <c r="G49" s="866"/>
      <c r="H49" s="866"/>
      <c r="I49" s="866"/>
      <c r="J49" s="866"/>
      <c r="K49" s="866"/>
      <c r="L49" s="866"/>
    </row>
    <row r="50" spans="1:12" ht="28.5" customHeight="1">
      <c r="A50" s="496">
        <f t="shared" ref="A50:A55" si="9">+A49+1</f>
        <v>31</v>
      </c>
      <c r="B50" s="1214" t="str">
        <f>"Less: Total Hedge Gain/Expense Accumulated from p 256-257, col. (i) of FERC Form 1  included in Ln "&amp;A49&amp;" and shown in "&amp;A68&amp;" below."</f>
        <v>Less: Total Hedge Gain/Expense Accumulated from p 256-257, col. (i) of FERC Form 1  included in Ln 30 and shown in 43 below.</v>
      </c>
      <c r="C50" s="1215"/>
      <c r="D50" s="865"/>
      <c r="E50" s="864">
        <f>+C68</f>
        <v>0</v>
      </c>
      <c r="F50" s="866"/>
      <c r="G50" s="866"/>
      <c r="H50" s="866"/>
      <c r="I50" s="866"/>
      <c r="J50" s="866"/>
      <c r="K50" s="866"/>
      <c r="L50" s="866"/>
    </row>
    <row r="51" spans="1:12">
      <c r="A51" s="496">
        <f t="shared" si="9"/>
        <v>32</v>
      </c>
      <c r="B51" s="921" t="s">
        <v>763</v>
      </c>
      <c r="C51" s="866"/>
      <c r="D51" s="866"/>
      <c r="E51" s="868">
        <v>0</v>
      </c>
      <c r="F51" s="866"/>
      <c r="G51" s="866"/>
      <c r="H51" s="866"/>
      <c r="I51" s="866"/>
      <c r="J51" s="866"/>
    </row>
    <row r="52" spans="1:12">
      <c r="A52" s="496">
        <f t="shared" si="9"/>
        <v>33</v>
      </c>
      <c r="B52" s="921" t="s">
        <v>764</v>
      </c>
      <c r="C52" s="869"/>
      <c r="D52" s="865"/>
      <c r="E52" s="868">
        <v>0</v>
      </c>
      <c r="F52" s="866"/>
      <c r="G52" s="866"/>
      <c r="H52" s="866"/>
      <c r="I52" s="866"/>
      <c r="J52" s="866"/>
    </row>
    <row r="53" spans="1:12">
      <c r="A53" s="496">
        <f t="shared" si="9"/>
        <v>34</v>
      </c>
      <c r="B53" s="921" t="s">
        <v>765</v>
      </c>
      <c r="C53" s="869"/>
      <c r="D53" s="865"/>
      <c r="E53" s="868">
        <v>0</v>
      </c>
      <c r="F53" s="866"/>
      <c r="G53" s="866"/>
      <c r="H53" s="866"/>
      <c r="I53" s="866"/>
      <c r="J53" s="866"/>
    </row>
    <row r="54" spans="1:12" ht="13.5" thickBot="1">
      <c r="A54" s="496">
        <f t="shared" si="9"/>
        <v>35</v>
      </c>
      <c r="B54" s="921" t="s">
        <v>766</v>
      </c>
      <c r="C54" s="869"/>
      <c r="D54" s="865"/>
      <c r="E54" s="870">
        <v>0</v>
      </c>
      <c r="F54" s="866"/>
      <c r="G54" s="866"/>
      <c r="H54" s="866"/>
      <c r="I54" s="866"/>
      <c r="J54" s="866"/>
    </row>
    <row r="55" spans="1:12">
      <c r="A55" s="496">
        <f t="shared" si="9"/>
        <v>36</v>
      </c>
      <c r="B55" s="863" t="str">
        <f>"Total Interest Expense (Ln "&amp;A49&amp;" - "&amp;A50&amp;" + "&amp;A51&amp;" + "&amp;A52&amp;" - "&amp;A53&amp;" - "&amp;A54&amp;")"</f>
        <v>Total Interest Expense (Ln 30 - 31 + 32 + 33 - 34 - 35)</v>
      </c>
      <c r="C55" s="871"/>
      <c r="D55" s="872"/>
      <c r="E55" s="873">
        <f>+E49-E50+E51+E52-E53-E54</f>
        <v>126600397.05487375</v>
      </c>
      <c r="F55" s="866"/>
      <c r="G55" s="866"/>
      <c r="H55" s="866"/>
      <c r="I55" s="866"/>
      <c r="J55" s="866"/>
    </row>
    <row r="56" spans="1:12" ht="13.5" thickBot="1">
      <c r="A56" s="496"/>
      <c r="B56" s="867"/>
      <c r="C56" s="869"/>
      <c r="D56" s="865"/>
      <c r="E56" s="874"/>
      <c r="F56" s="866"/>
      <c r="G56" s="866"/>
      <c r="H56" s="866"/>
      <c r="I56" s="866"/>
      <c r="J56" s="866"/>
    </row>
    <row r="57" spans="1:12" ht="13.5" thickBot="1">
      <c r="A57" s="496">
        <f>+A55+1</f>
        <v>37</v>
      </c>
      <c r="B57" s="863" t="str">
        <f>"Average Cost of Debt for "&amp;TCOS!L4&amp;" (Ln "&amp;A55&amp;"/ ln "&amp;A42&amp;" (g))"</f>
        <v>Average Cost of Debt for 2026 (Ln 36/ ln 28 (g))</v>
      </c>
      <c r="C57" s="871"/>
      <c r="D57" s="865"/>
      <c r="E57" s="875">
        <f>+E55/H42</f>
        <v>4.4748443048860817E-2</v>
      </c>
      <c r="F57" s="866"/>
      <c r="G57" s="866"/>
      <c r="H57" s="866"/>
      <c r="I57" s="866"/>
      <c r="J57" s="866"/>
    </row>
    <row r="58" spans="1:12">
      <c r="A58" s="876"/>
      <c r="B58" s="867"/>
      <c r="C58" s="869"/>
      <c r="D58" s="865"/>
      <c r="E58" s="869"/>
      <c r="F58" s="866"/>
      <c r="G58" s="866"/>
      <c r="H58" s="866"/>
      <c r="I58" s="866"/>
      <c r="J58" s="866"/>
    </row>
    <row r="59" spans="1:12" ht="16.5" customHeight="1">
      <c r="A59" s="877"/>
      <c r="B59" s="1216" t="s">
        <v>746</v>
      </c>
      <c r="C59" s="1216"/>
      <c r="D59" s="1216"/>
      <c r="E59" s="1216"/>
      <c r="F59" s="878"/>
      <c r="G59" s="866"/>
      <c r="H59" s="866"/>
      <c r="I59" s="866"/>
      <c r="J59" s="866"/>
    </row>
    <row r="60" spans="1:12" ht="21" customHeight="1">
      <c r="A60" s="879">
        <f>+A57+1</f>
        <v>38</v>
      </c>
      <c r="B60" s="1217" t="str">
        <f>""&amp;A4&amp;" may not include costs (or gains) related to interest hedging activities."</f>
        <v>AEP Ohio Transmission Company may not include costs (or gains) related to interest hedging activities.</v>
      </c>
      <c r="C60" s="1217"/>
      <c r="D60" s="1217"/>
      <c r="E60" s="1217"/>
      <c r="F60" s="1217"/>
      <c r="G60" s="880"/>
      <c r="H60" s="880"/>
      <c r="I60" s="866"/>
      <c r="J60" s="866"/>
    </row>
    <row r="61" spans="1:12">
      <c r="A61" s="881"/>
      <c r="B61" s="882"/>
      <c r="C61" s="882"/>
      <c r="D61" s="882"/>
      <c r="E61" s="1218" t="s">
        <v>219</v>
      </c>
      <c r="F61" s="1218"/>
      <c r="G61" s="741"/>
      <c r="H61" s="741"/>
      <c r="I61" s="866"/>
      <c r="J61" s="866"/>
    </row>
    <row r="62" spans="1:12" ht="38.25">
      <c r="A62" s="496"/>
      <c r="B62" s="884" t="s">
        <v>220</v>
      </c>
      <c r="C62" s="884" t="str">
        <f>"(Amortization of (Gain)/Loss for "&amp;TCOS!L4</f>
        <v>(Amortization of (Gain)/Loss for 2026</v>
      </c>
      <c r="D62" s="883" t="s">
        <v>221</v>
      </c>
      <c r="E62" s="883" t="s">
        <v>78</v>
      </c>
      <c r="F62" s="883" t="s">
        <v>80</v>
      </c>
      <c r="G62" s="741"/>
      <c r="H62" s="741"/>
      <c r="I62" s="866"/>
      <c r="J62" s="866"/>
    </row>
    <row r="63" spans="1:12">
      <c r="A63" s="496">
        <f>+A60+1</f>
        <v>39</v>
      </c>
      <c r="B63" s="885"/>
      <c r="C63" s="852"/>
      <c r="D63" s="885"/>
      <c r="E63" s="885"/>
      <c r="F63" s="886"/>
      <c r="G63" s="741"/>
      <c r="H63" s="741"/>
      <c r="I63" s="866"/>
      <c r="J63" s="866"/>
    </row>
    <row r="64" spans="1:12">
      <c r="A64" s="496">
        <f>+A63+1</f>
        <v>40</v>
      </c>
      <c r="B64" s="885"/>
      <c r="C64" s="852"/>
      <c r="D64" s="885"/>
      <c r="E64" s="885"/>
      <c r="F64" s="886"/>
      <c r="G64" s="887"/>
      <c r="H64" s="887"/>
      <c r="I64" s="866"/>
      <c r="J64" s="866"/>
    </row>
    <row r="65" spans="1:10">
      <c r="A65" s="496">
        <f>+A64+1</f>
        <v>41</v>
      </c>
      <c r="B65" s="885"/>
      <c r="C65" s="852"/>
      <c r="D65" s="888"/>
      <c r="E65" s="888"/>
      <c r="F65" s="886"/>
      <c r="G65" s="887"/>
      <c r="H65" s="887"/>
      <c r="I65" s="866"/>
      <c r="J65" s="866"/>
    </row>
    <row r="66" spans="1:10">
      <c r="A66" s="496">
        <f>+A65+1</f>
        <v>42</v>
      </c>
      <c r="B66" s="885"/>
      <c r="C66" s="852"/>
      <c r="D66" s="888"/>
      <c r="E66" s="888"/>
      <c r="F66" s="889"/>
      <c r="G66" s="890"/>
      <c r="H66" s="891"/>
      <c r="I66" s="866"/>
      <c r="J66" s="866"/>
    </row>
    <row r="67" spans="1:10">
      <c r="A67" s="496"/>
      <c r="B67" s="866"/>
      <c r="C67" s="892"/>
      <c r="D67" s="892"/>
      <c r="E67" s="893"/>
      <c r="F67" s="866"/>
      <c r="G67" s="866"/>
      <c r="H67" s="866"/>
    </row>
    <row r="68" spans="1:10">
      <c r="A68" s="496">
        <f>+A66+1</f>
        <v>43</v>
      </c>
      <c r="B68" s="894" t="s">
        <v>245</v>
      </c>
      <c r="C68" s="874">
        <f>SUM(C63:C67)</f>
        <v>0</v>
      </c>
      <c r="D68" s="874">
        <f>SUM(D63:D67)</f>
        <v>0</v>
      </c>
      <c r="E68" s="874">
        <f>SUM(E63:E67)</f>
        <v>0</v>
      </c>
      <c r="F68" s="895">
        <f>SUM(F63:F67)</f>
        <v>0</v>
      </c>
      <c r="G68" s="866"/>
      <c r="H68" s="866"/>
    </row>
    <row r="69" spans="1:10">
      <c r="A69" s="496"/>
      <c r="B69" s="867"/>
      <c r="C69" s="874"/>
      <c r="D69" s="874"/>
      <c r="E69" s="874"/>
      <c r="F69" s="866"/>
      <c r="G69" s="866"/>
      <c r="H69" s="866"/>
    </row>
    <row r="70" spans="1:10">
      <c r="A70" s="496"/>
      <c r="B70" s="863"/>
      <c r="C70" s="869"/>
      <c r="D70" s="865"/>
      <c r="E70" s="896"/>
      <c r="F70" s="866"/>
      <c r="G70" s="866"/>
      <c r="H70" s="866"/>
    </row>
    <row r="71" spans="1:10">
      <c r="A71" s="496"/>
      <c r="B71" s="863"/>
      <c r="C71" s="869"/>
      <c r="D71" s="865"/>
      <c r="E71" s="896"/>
      <c r="F71" s="866"/>
      <c r="G71" s="866"/>
      <c r="H71" s="866"/>
    </row>
    <row r="72" spans="1:10" ht="15">
      <c r="A72" s="897" t="s">
        <v>337</v>
      </c>
      <c r="B72" s="863"/>
      <c r="C72" s="869"/>
      <c r="D72" s="865"/>
      <c r="E72" s="896"/>
      <c r="F72" s="866"/>
      <c r="G72" s="866"/>
      <c r="H72" s="866"/>
    </row>
    <row r="73" spans="1:10">
      <c r="A73" s="496"/>
      <c r="B73" s="863"/>
      <c r="C73" s="869"/>
      <c r="D73" s="865"/>
      <c r="E73" s="896"/>
      <c r="F73" s="866"/>
      <c r="G73" s="866"/>
      <c r="H73" s="866"/>
    </row>
    <row r="74" spans="1:10">
      <c r="A74" s="898">
        <f>+A68+1</f>
        <v>44</v>
      </c>
      <c r="B74" s="865" t="str">
        <f>"Balance of Preferred Stock (Line "&amp;A23&amp;" (c))"</f>
        <v>Balance of Preferred Stock (Line 14 (c))</v>
      </c>
      <c r="E74" s="899">
        <f>+D23</f>
        <v>0</v>
      </c>
    </row>
    <row r="75" spans="1:10">
      <c r="A75" s="496">
        <f>+A74+1</f>
        <v>45</v>
      </c>
      <c r="B75" s="865" t="s">
        <v>747</v>
      </c>
      <c r="E75" s="889"/>
    </row>
    <row r="76" spans="1:10">
      <c r="A76" s="496">
        <f>+A75+1</f>
        <v>46</v>
      </c>
      <c r="B76" s="865" t="str">
        <f>"Average Cost of Preferred Stock (Ln "&amp;A75&amp;" / ln "&amp;A74&amp;")"</f>
        <v>Average Cost of Preferred Stock (Ln 45 / ln 44)</v>
      </c>
      <c r="E76" s="900" t="e">
        <f>+E75/E74</f>
        <v>#DIV/0!</v>
      </c>
    </row>
  </sheetData>
  <mergeCells count="10">
    <mergeCell ref="B50:C50"/>
    <mergeCell ref="B59:E59"/>
    <mergeCell ref="B60:F60"/>
    <mergeCell ref="E61:F61"/>
    <mergeCell ref="A4:G4"/>
    <mergeCell ref="A1:G1"/>
    <mergeCell ref="A2:G2"/>
    <mergeCell ref="A3:G3"/>
    <mergeCell ref="C6:G6"/>
    <mergeCell ref="C25:H25"/>
  </mergeCells>
  <pageMargins left="0.7" right="0.7" top="0.75" bottom="0.75" header="0.3" footer="0.3"/>
  <pageSetup scale="66" fitToHeight="0" orientation="landscape" cellComments="asDisplayed" r:id="rId1"/>
  <headerFooter>
    <oddHeader xml:space="preserve">&amp;L&amp;"Times New Roman,Bold Italic"Privileged and Confidential 
Subject to FERC Rules 602 and 606 
&amp;RPage &amp;P of &amp;N
</oddHeader>
  </headerFooter>
  <rowBreaks count="1" manualBreakCount="1">
    <brk id="4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U34"/>
  <sheetViews>
    <sheetView zoomScale="81" zoomScaleNormal="81" workbookViewId="0">
      <selection activeCell="A3" sqref="A3:O3"/>
    </sheetView>
  </sheetViews>
  <sheetFormatPr defaultRowHeight="12.75"/>
  <cols>
    <col min="2" max="2" width="11.85546875" customWidth="1"/>
    <col min="3" max="3" width="1" customWidth="1"/>
    <col min="8" max="8" width="1.7109375" customWidth="1"/>
    <col min="9" max="9" width="9.85546875" customWidth="1"/>
    <col min="10" max="10" width="1.7109375" customWidth="1"/>
    <col min="11" max="11" width="12.5703125" customWidth="1"/>
    <col min="12" max="12" width="1.7109375" customWidth="1"/>
    <col min="13" max="13" width="13.7109375" customWidth="1"/>
    <col min="14" max="14" width="1.140625" customWidth="1"/>
    <col min="15" max="15" width="14.85546875" customWidth="1"/>
    <col min="16" max="16" width="1.140625" customWidth="1"/>
    <col min="17" max="17" width="12.7109375" customWidth="1"/>
    <col min="18" max="18" width="1.28515625" customWidth="1"/>
    <col min="19" max="19" width="17.5703125" customWidth="1"/>
    <col min="20" max="20" width="1.140625" customWidth="1"/>
    <col min="21" max="21" width="13" customWidth="1"/>
  </cols>
  <sheetData>
    <row r="1" spans="1:21" ht="15.75">
      <c r="A1" s="730" t="s">
        <v>406</v>
      </c>
    </row>
    <row r="2" spans="1:21" ht="15.75">
      <c r="A2" s="730" t="s">
        <v>406</v>
      </c>
    </row>
    <row r="3" spans="1:21" ht="18">
      <c r="A3" s="1192" t="str">
        <f>TCOS!$F$5</f>
        <v>AEPTCo subsidiaries in PJM</v>
      </c>
      <c r="B3" s="1192" t="str">
        <f>TCOS!$F$5</f>
        <v>AEPTCo subsidiaries in PJM</v>
      </c>
      <c r="C3" s="1192" t="str">
        <f>TCOS!$F$5</f>
        <v>AEPTCo subsidiaries in PJM</v>
      </c>
      <c r="D3" s="1192" t="str">
        <f>TCOS!$F$5</f>
        <v>AEPTCo subsidiaries in PJM</v>
      </c>
      <c r="E3" s="1192" t="str">
        <f>TCOS!$F$5</f>
        <v>AEPTCo subsidiaries in PJM</v>
      </c>
      <c r="F3" s="1192" t="str">
        <f>TCOS!$F$5</f>
        <v>AEPTCo subsidiaries in PJM</v>
      </c>
      <c r="G3" s="1192" t="str">
        <f>TCOS!$F$5</f>
        <v>AEPTCo subsidiaries in PJM</v>
      </c>
      <c r="H3" s="1192" t="str">
        <f>TCOS!$F$5</f>
        <v>AEPTCo subsidiaries in PJM</v>
      </c>
      <c r="I3" s="1192" t="str">
        <f>TCOS!$F$5</f>
        <v>AEPTCo subsidiaries in PJM</v>
      </c>
      <c r="J3" s="1192" t="str">
        <f>TCOS!$F$5</f>
        <v>AEPTCo subsidiaries in PJM</v>
      </c>
      <c r="K3" s="1192" t="str">
        <f>TCOS!$F$5</f>
        <v>AEPTCo subsidiaries in PJM</v>
      </c>
      <c r="L3" s="1192" t="str">
        <f>TCOS!$F$5</f>
        <v>AEPTCo subsidiaries in PJM</v>
      </c>
      <c r="M3" s="1192" t="str">
        <f>TCOS!$F$5</f>
        <v>AEPTCo subsidiaries in PJM</v>
      </c>
      <c r="N3" s="1192" t="str">
        <f>TCOS!$F$5</f>
        <v>AEPTCo subsidiaries in PJM</v>
      </c>
      <c r="O3" s="1192" t="str">
        <f>TCOS!$F$5</f>
        <v>AEPTCo subsidiaries in PJM</v>
      </c>
    </row>
    <row r="4" spans="1:21" ht="18">
      <c r="A4" s="1191" t="str">
        <f>"Cost of Service Formula Rate Using Actual/Projected FF1 Balances"</f>
        <v>Cost of Service Formula Rate Using Actual/Projected FF1 Balances</v>
      </c>
      <c r="B4" s="1191"/>
      <c r="C4" s="1191"/>
      <c r="D4" s="1191"/>
      <c r="E4" s="1191"/>
      <c r="F4" s="1191"/>
      <c r="G4" s="1191"/>
      <c r="H4" s="1191"/>
      <c r="I4" s="1191"/>
      <c r="J4" s="1191"/>
      <c r="K4" s="1191"/>
      <c r="L4" s="1191"/>
      <c r="M4" s="1191"/>
      <c r="N4" s="1191"/>
      <c r="O4" s="1191"/>
    </row>
    <row r="5" spans="1:21" ht="18">
      <c r="A5" s="1191" t="s">
        <v>24</v>
      </c>
      <c r="B5" s="1191"/>
      <c r="C5" s="1191"/>
      <c r="D5" s="1191"/>
      <c r="E5" s="1191"/>
      <c r="F5" s="1191"/>
      <c r="G5" s="1191"/>
      <c r="H5" s="1191"/>
      <c r="I5" s="1191"/>
      <c r="J5" s="1191"/>
      <c r="K5" s="1191"/>
      <c r="L5" s="1191"/>
      <c r="M5" s="1191"/>
      <c r="N5" s="1191"/>
      <c r="O5" s="1191"/>
    </row>
    <row r="6" spans="1:21" ht="18">
      <c r="A6" s="1184" t="str">
        <f>+TCOS!F9</f>
        <v>AEP Ohio Transmission Company</v>
      </c>
      <c r="B6" s="1184"/>
      <c r="C6" s="1184"/>
      <c r="D6" s="1184"/>
      <c r="E6" s="1184"/>
      <c r="F6" s="1184"/>
      <c r="G6" s="1184"/>
      <c r="H6" s="1184"/>
      <c r="I6" s="1184"/>
      <c r="J6" s="1184"/>
      <c r="K6" s="1184"/>
      <c r="L6" s="1184"/>
      <c r="M6" s="1184"/>
      <c r="N6" s="1184"/>
      <c r="O6" s="1184"/>
    </row>
    <row r="7" spans="1:21" ht="12.75" customHeight="1">
      <c r="A7" s="67"/>
      <c r="B7" s="67"/>
      <c r="C7" s="67"/>
      <c r="D7" s="67"/>
      <c r="E7" s="67"/>
      <c r="F7" s="67"/>
      <c r="G7" s="67"/>
      <c r="H7" s="67"/>
      <c r="I7" s="67"/>
      <c r="J7" s="67"/>
      <c r="K7" s="67"/>
      <c r="L7" s="67"/>
    </row>
    <row r="8" spans="1:21" ht="12.75" customHeight="1">
      <c r="A8" s="1220" t="s">
        <v>16</v>
      </c>
      <c r="B8" s="1220"/>
      <c r="C8" s="1220"/>
      <c r="D8" s="1220"/>
      <c r="E8" s="1220"/>
      <c r="F8" s="1220"/>
      <c r="G8" s="1220"/>
      <c r="H8" s="1220"/>
      <c r="I8" s="1220"/>
      <c r="J8" s="1220"/>
      <c r="K8" s="1220"/>
      <c r="L8" s="1220"/>
      <c r="M8" s="1220"/>
      <c r="N8" s="1220"/>
      <c r="O8" s="1220"/>
    </row>
    <row r="9" spans="1:21" ht="12.75" customHeight="1">
      <c r="A9" s="1220"/>
      <c r="B9" s="1220"/>
      <c r="C9" s="1220"/>
      <c r="D9" s="1220"/>
      <c r="E9" s="1220"/>
      <c r="F9" s="1220"/>
      <c r="G9" s="1220"/>
      <c r="H9" s="1220"/>
      <c r="I9" s="1220"/>
      <c r="J9" s="1220"/>
      <c r="K9" s="1220"/>
      <c r="L9" s="1220"/>
      <c r="M9" s="1220"/>
      <c r="N9" s="1220"/>
      <c r="O9" s="1220"/>
    </row>
    <row r="10" spans="1:21">
      <c r="A10" s="1220"/>
      <c r="B10" s="1220"/>
      <c r="C10" s="1220"/>
      <c r="D10" s="1220"/>
      <c r="E10" s="1220"/>
      <c r="F10" s="1220"/>
      <c r="G10" s="1220"/>
      <c r="H10" s="1220"/>
      <c r="I10" s="1220"/>
      <c r="J10" s="1220"/>
      <c r="K10" s="1220"/>
      <c r="L10" s="1220"/>
      <c r="M10" s="1220"/>
      <c r="N10" s="1220"/>
      <c r="O10" s="1220"/>
    </row>
    <row r="11" spans="1:21">
      <c r="A11" s="1220"/>
      <c r="B11" s="1220"/>
      <c r="C11" s="1220"/>
      <c r="D11" s="1220"/>
      <c r="E11" s="1220"/>
      <c r="F11" s="1220"/>
      <c r="G11" s="1220"/>
      <c r="H11" s="1220"/>
      <c r="I11" s="1220"/>
      <c r="J11" s="1220"/>
      <c r="K11" s="1220"/>
      <c r="L11" s="1220"/>
      <c r="M11" s="1220"/>
      <c r="N11" s="1220"/>
      <c r="O11" s="1220"/>
    </row>
    <row r="12" spans="1:21">
      <c r="B12" s="1" t="s">
        <v>452</v>
      </c>
      <c r="C12" s="1"/>
      <c r="D12" s="1131" t="s">
        <v>453</v>
      </c>
      <c r="E12" s="1131"/>
      <c r="F12" s="1131"/>
      <c r="G12" s="1131"/>
      <c r="H12" s="1"/>
      <c r="I12" s="1" t="s">
        <v>323</v>
      </c>
      <c r="J12" s="1"/>
      <c r="K12" s="1" t="s">
        <v>455</v>
      </c>
      <c r="L12" s="1"/>
      <c r="M12" s="1" t="s">
        <v>375</v>
      </c>
      <c r="N12" s="1"/>
      <c r="O12" s="1" t="s">
        <v>376</v>
      </c>
      <c r="P12" s="1"/>
      <c r="Q12" s="1" t="s">
        <v>349</v>
      </c>
      <c r="R12" s="1"/>
      <c r="S12" s="1" t="s">
        <v>382</v>
      </c>
      <c r="U12" s="47" t="s">
        <v>288</v>
      </c>
    </row>
    <row r="13" spans="1:21">
      <c r="I13" s="1219" t="s">
        <v>347</v>
      </c>
      <c r="Q13" s="1221" t="s">
        <v>348</v>
      </c>
      <c r="S13" s="1219" t="s">
        <v>350</v>
      </c>
      <c r="U13" s="111" t="s">
        <v>265</v>
      </c>
    </row>
    <row r="14" spans="1:21">
      <c r="A14" s="70" t="s">
        <v>346</v>
      </c>
      <c r="B14" s="70" t="s">
        <v>342</v>
      </c>
      <c r="C14" s="70"/>
      <c r="D14" s="86" t="s">
        <v>343</v>
      </c>
      <c r="E14" s="70"/>
      <c r="F14" s="70"/>
      <c r="G14" s="70"/>
      <c r="H14" s="70"/>
      <c r="I14" s="1197"/>
      <c r="J14" s="70"/>
      <c r="K14" s="70" t="s">
        <v>344</v>
      </c>
      <c r="L14" s="70"/>
      <c r="M14" s="70" t="s">
        <v>345</v>
      </c>
      <c r="N14" s="70"/>
      <c r="O14" s="70" t="s">
        <v>282</v>
      </c>
      <c r="Q14" s="1221"/>
      <c r="S14" s="1219"/>
      <c r="U14" s="111" t="s">
        <v>102</v>
      </c>
    </row>
    <row r="15" spans="1:21">
      <c r="A15" s="70"/>
      <c r="B15" s="70"/>
      <c r="C15" s="70"/>
      <c r="D15" s="86"/>
      <c r="E15" s="70"/>
      <c r="F15" s="70"/>
      <c r="G15" s="70"/>
      <c r="H15" s="70"/>
      <c r="I15" t="s">
        <v>280</v>
      </c>
      <c r="J15" s="70"/>
      <c r="K15" s="70"/>
      <c r="L15" s="70"/>
      <c r="M15" s="70"/>
      <c r="N15" s="70"/>
      <c r="O15" s="70"/>
      <c r="Q15" s="94"/>
      <c r="S15" s="70" t="s">
        <v>282</v>
      </c>
    </row>
    <row r="16" spans="1:21">
      <c r="I16" t="s">
        <v>281</v>
      </c>
    </row>
    <row r="17" spans="1:21">
      <c r="A17" s="1">
        <v>1</v>
      </c>
      <c r="B17" s="608"/>
      <c r="D17" s="1222"/>
      <c r="E17" s="1222"/>
      <c r="F17" s="1222"/>
      <c r="G17" s="1222"/>
      <c r="I17" s="609"/>
      <c r="K17" s="607"/>
      <c r="L17" s="62"/>
      <c r="M17" s="607"/>
      <c r="O17" s="74">
        <f>+K17-M17</f>
        <v>0</v>
      </c>
      <c r="Q17" s="88">
        <f>IF(I17="G",TCOS!L235,IF(I17="T",1,0))</f>
        <v>0</v>
      </c>
      <c r="S17" s="74">
        <f>ROUND(O17*Q17,0)</f>
        <v>0</v>
      </c>
      <c r="U17" s="610"/>
    </row>
    <row r="18" spans="1:21">
      <c r="A18" s="1"/>
      <c r="D18" s="1222"/>
      <c r="E18" s="1222"/>
      <c r="F18" s="1222"/>
      <c r="G18" s="1222"/>
      <c r="K18" s="62"/>
      <c r="L18" s="62"/>
      <c r="M18" s="62"/>
      <c r="O18" s="62"/>
      <c r="Q18" s="88"/>
      <c r="S18" s="62"/>
    </row>
    <row r="19" spans="1:21">
      <c r="A19" s="1"/>
      <c r="D19" s="1222"/>
      <c r="E19" s="1222"/>
      <c r="F19" s="1222"/>
      <c r="G19" s="1222"/>
      <c r="K19" s="62"/>
      <c r="L19" s="62"/>
      <c r="M19" s="62"/>
      <c r="O19" s="62"/>
      <c r="Q19" s="88"/>
      <c r="S19" s="62"/>
    </row>
    <row r="20" spans="1:21">
      <c r="A20" s="1"/>
      <c r="K20" s="62"/>
      <c r="L20" s="62"/>
      <c r="M20" s="62"/>
      <c r="O20" s="62"/>
      <c r="Q20" s="88"/>
      <c r="S20" s="62"/>
    </row>
    <row r="21" spans="1:21">
      <c r="A21" s="1"/>
      <c r="K21" s="62"/>
      <c r="L21" s="62"/>
      <c r="M21" s="62"/>
      <c r="O21" s="62"/>
      <c r="Q21" s="88"/>
      <c r="S21" s="62"/>
    </row>
    <row r="22" spans="1:21" ht="12" customHeight="1">
      <c r="A22" s="1">
        <f>+A17+1</f>
        <v>2</v>
      </c>
      <c r="B22" s="608"/>
      <c r="D22" s="1222"/>
      <c r="E22" s="1222"/>
      <c r="F22" s="1222"/>
      <c r="G22" s="1222"/>
      <c r="I22" s="609"/>
      <c r="K22" s="607"/>
      <c r="L22" s="62"/>
      <c r="M22" s="607"/>
      <c r="O22" s="74">
        <f>+K22-M22</f>
        <v>0</v>
      </c>
      <c r="Q22" s="88">
        <f>IF(I22="G",TCOS!L235,IF(I22="T",1,0))</f>
        <v>0</v>
      </c>
      <c r="S22" s="74">
        <f>ROUND(O22*Q22,0)</f>
        <v>0</v>
      </c>
      <c r="U22" s="610"/>
    </row>
    <row r="23" spans="1:21">
      <c r="A23" s="1"/>
      <c r="D23" s="1222"/>
      <c r="E23" s="1222"/>
      <c r="F23" s="1222"/>
      <c r="G23" s="1222"/>
      <c r="K23" s="62"/>
      <c r="L23" s="62"/>
      <c r="M23" s="62"/>
      <c r="O23" s="62"/>
      <c r="Q23" s="88"/>
      <c r="S23" s="62"/>
    </row>
    <row r="24" spans="1:21">
      <c r="A24" s="1"/>
      <c r="D24" s="1222"/>
      <c r="E24" s="1222"/>
      <c r="F24" s="1222"/>
      <c r="G24" s="1222"/>
      <c r="K24" s="62"/>
      <c r="L24" s="62"/>
      <c r="M24" s="62"/>
      <c r="O24" s="62"/>
      <c r="Q24" s="88"/>
      <c r="S24" s="62"/>
    </row>
    <row r="25" spans="1:21">
      <c r="A25" s="1"/>
      <c r="I25" s="1"/>
      <c r="K25" s="62"/>
      <c r="L25" s="62"/>
      <c r="M25" s="62"/>
      <c r="O25" s="62"/>
      <c r="Q25" s="88"/>
      <c r="S25" s="62"/>
    </row>
    <row r="26" spans="1:21">
      <c r="A26" s="1"/>
      <c r="I26" s="1"/>
      <c r="K26" s="62"/>
      <c r="L26" s="62"/>
      <c r="M26" s="62"/>
      <c r="O26" s="62"/>
      <c r="Q26" s="88"/>
      <c r="S26" s="62"/>
    </row>
    <row r="27" spans="1:21">
      <c r="A27" s="1">
        <f>+A22+1</f>
        <v>3</v>
      </c>
      <c r="B27" s="608"/>
      <c r="D27" s="1222"/>
      <c r="E27" s="1222"/>
      <c r="F27" s="1222"/>
      <c r="G27" s="1222"/>
      <c r="I27" s="609"/>
      <c r="K27" s="607"/>
      <c r="L27" s="62"/>
      <c r="M27" s="607"/>
      <c r="O27" s="74">
        <f>+K27-M27</f>
        <v>0</v>
      </c>
      <c r="Q27" s="88">
        <f>IF(I27="G",TCOS!L235,IF(I27="T",1,0))</f>
        <v>0</v>
      </c>
      <c r="S27" s="74">
        <f>ROUND(O27*Q27,0)</f>
        <v>0</v>
      </c>
      <c r="U27" s="610"/>
    </row>
    <row r="28" spans="1:21">
      <c r="A28" s="1"/>
      <c r="D28" s="1222"/>
      <c r="E28" s="1222"/>
      <c r="F28" s="1222"/>
      <c r="G28" s="1222"/>
      <c r="K28" s="62"/>
      <c r="L28" s="62"/>
      <c r="M28" s="62"/>
      <c r="O28" s="62"/>
      <c r="Q28" s="88"/>
      <c r="S28" s="62"/>
    </row>
    <row r="29" spans="1:21">
      <c r="A29" s="1"/>
      <c r="D29" s="1222"/>
      <c r="E29" s="1222"/>
      <c r="F29" s="1222"/>
      <c r="G29" s="1222"/>
      <c r="K29" s="62"/>
      <c r="L29" s="62"/>
      <c r="M29" s="62"/>
      <c r="O29" s="62"/>
      <c r="Q29" s="88"/>
    </row>
    <row r="30" spans="1:21">
      <c r="A30" s="1"/>
      <c r="O30" s="62"/>
      <c r="Q30" s="88"/>
    </row>
    <row r="31" spans="1:21">
      <c r="A31" s="1"/>
      <c r="O31" s="62"/>
      <c r="Q31" s="88"/>
    </row>
    <row r="32" spans="1:21">
      <c r="A32" s="1"/>
      <c r="O32" s="62"/>
      <c r="Q32" s="88"/>
    </row>
    <row r="33" spans="1:19" ht="13.5" thickBot="1">
      <c r="A33" s="1">
        <f>+A27+1</f>
        <v>4</v>
      </c>
      <c r="K33" t="str">
        <f>"Net (Gain) or Loss for "&amp;TCOS!O3&amp;""</f>
        <v xml:space="preserve">Net (Gain) or Loss for  </v>
      </c>
      <c r="O33" s="92">
        <f>SUM(O17:O27)</f>
        <v>0</v>
      </c>
      <c r="Q33" s="93"/>
      <c r="S33" s="92">
        <f>SUM(S17:S27)</f>
        <v>0</v>
      </c>
    </row>
    <row r="34" spans="1:19" ht="13.5" thickTop="1">
      <c r="A34" s="1"/>
      <c r="O34" s="62"/>
      <c r="Q34" s="93"/>
    </row>
  </sheetData>
  <mergeCells count="12">
    <mergeCell ref="Q13:Q14"/>
    <mergeCell ref="S13:S14"/>
    <mergeCell ref="D17:G19"/>
    <mergeCell ref="D22:G24"/>
    <mergeCell ref="D27:G29"/>
    <mergeCell ref="A3:O3"/>
    <mergeCell ref="A4:O4"/>
    <mergeCell ref="A5:O5"/>
    <mergeCell ref="I13:I14"/>
    <mergeCell ref="D12:G12"/>
    <mergeCell ref="A6:O6"/>
    <mergeCell ref="A8:O11"/>
  </mergeCells>
  <phoneticPr fontId="88" type="noConversion"/>
  <pageMargins left="0.75" right="0.75" top="1" bottom="1" header="0.75" footer="0.5"/>
  <pageSetup scale="76" orientation="landscape" r:id="rId1"/>
  <headerFooter alignWithMargins="0">
    <oddHeader>&amp;R&amp;"Arial,Bold"Formula Rate 
&amp;A
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0" tint="-4.9989318521683403E-2"/>
  </sheetPr>
  <dimension ref="A1:F37"/>
  <sheetViews>
    <sheetView view="pageBreakPreview" topLeftCell="A3" zoomScale="90" zoomScaleNormal="80" zoomScaleSheetLayoutView="90" workbookViewId="0">
      <selection activeCell="D31" sqref="D31"/>
    </sheetView>
  </sheetViews>
  <sheetFormatPr defaultColWidth="11.42578125" defaultRowHeight="12.75"/>
  <cols>
    <col min="1" max="1" width="37.85546875" style="923" customWidth="1"/>
    <col min="2" max="2" width="25.42578125" style="923" customWidth="1"/>
    <col min="3" max="3" width="53.42578125" style="923" customWidth="1"/>
    <col min="4" max="4" width="18.42578125" style="923" customWidth="1"/>
    <col min="5" max="5" width="11.42578125" style="923" customWidth="1"/>
    <col min="6" max="6" width="13.7109375" style="923" bestFit="1" customWidth="1"/>
    <col min="7" max="16384" width="11.42578125" style="923"/>
  </cols>
  <sheetData>
    <row r="1" spans="1:6" ht="15.75">
      <c r="A1" s="922" t="s">
        <v>406</v>
      </c>
    </row>
    <row r="2" spans="1:6" ht="15.75">
      <c r="A2" s="922" t="s">
        <v>406</v>
      </c>
    </row>
    <row r="3" spans="1:6" ht="15.75">
      <c r="A3" s="1224" t="str">
        <f>TCOS!F5</f>
        <v>AEPTCo subsidiaries in PJM</v>
      </c>
      <c r="B3" s="1224" t="s">
        <v>321</v>
      </c>
      <c r="C3" s="1224" t="s">
        <v>321</v>
      </c>
      <c r="D3" s="1224" t="s">
        <v>321</v>
      </c>
    </row>
    <row r="4" spans="1:6" ht="15.75">
      <c r="A4" s="1224" t="str">
        <f>"Cost of Service Formula Rate Using Actual/Projected FF1 Balances"</f>
        <v>Cost of Service Formula Rate Using Actual/Projected FF1 Balances</v>
      </c>
      <c r="B4" s="1224"/>
      <c r="C4" s="1224"/>
      <c r="D4" s="1224"/>
    </row>
    <row r="5" spans="1:6" ht="15.75">
      <c r="A5" s="1224" t="s">
        <v>769</v>
      </c>
      <c r="B5" s="1224"/>
      <c r="C5" s="1224"/>
      <c r="D5" s="1224"/>
    </row>
    <row r="6" spans="1:6" ht="15.75">
      <c r="A6" s="1224" t="s">
        <v>770</v>
      </c>
      <c r="B6" s="1224"/>
      <c r="C6" s="1224"/>
      <c r="D6" s="1224"/>
    </row>
    <row r="7" spans="1:6" ht="15.75">
      <c r="A7" s="1225" t="str">
        <f>TCOS!F9</f>
        <v>AEP Ohio Transmission Company</v>
      </c>
      <c r="B7" s="1225"/>
      <c r="C7" s="1225"/>
      <c r="D7" s="1225"/>
    </row>
    <row r="8" spans="1:6" ht="15.75">
      <c r="A8" s="925"/>
      <c r="B8" s="926"/>
      <c r="C8" s="926"/>
      <c r="D8" s="926"/>
    </row>
    <row r="9" spans="1:6" ht="15.75">
      <c r="A9" s="927"/>
      <c r="B9" s="928"/>
      <c r="C9" s="928"/>
      <c r="D9" s="928"/>
    </row>
    <row r="10" spans="1:6" ht="15.75">
      <c r="A10" s="929"/>
      <c r="B10" s="929"/>
      <c r="C10" s="929"/>
      <c r="D10" s="929"/>
    </row>
    <row r="11" spans="1:6" ht="15.75">
      <c r="A11" s="928" t="s">
        <v>771</v>
      </c>
      <c r="B11" s="928" t="s">
        <v>452</v>
      </c>
      <c r="C11" s="930"/>
      <c r="D11" s="928" t="s">
        <v>453</v>
      </c>
    </row>
    <row r="12" spans="1:6" ht="15.75">
      <c r="A12" s="924">
        <f>1</f>
        <v>1</v>
      </c>
      <c r="B12" s="931" t="s">
        <v>772</v>
      </c>
      <c r="C12" s="930"/>
      <c r="D12" s="924"/>
    </row>
    <row r="13" spans="1:6" ht="15.75">
      <c r="A13" s="924"/>
      <c r="B13" s="931"/>
      <c r="C13" s="930"/>
      <c r="D13" s="924"/>
    </row>
    <row r="14" spans="1:6" ht="15.75">
      <c r="A14" s="924"/>
      <c r="B14" s="930"/>
      <c r="C14" s="930"/>
      <c r="D14" s="930"/>
    </row>
    <row r="15" spans="1:6" ht="15.75">
      <c r="A15" s="924">
        <f>A12+1</f>
        <v>2</v>
      </c>
      <c r="B15" s="932" t="s">
        <v>773</v>
      </c>
      <c r="C15" s="933"/>
      <c r="D15" s="934"/>
    </row>
    <row r="16" spans="1:6" ht="15.75">
      <c r="A16" s="924">
        <f t="shared" ref="A16:A23" si="0">+A15+1</f>
        <v>3</v>
      </c>
      <c r="B16" s="935" t="s">
        <v>774</v>
      </c>
      <c r="C16" s="935"/>
      <c r="D16" s="936">
        <v>-74897000</v>
      </c>
      <c r="F16" s="937"/>
    </row>
    <row r="17" spans="1:6" ht="15.75">
      <c r="A17" s="924">
        <f t="shared" si="0"/>
        <v>4</v>
      </c>
      <c r="B17" s="935" t="s">
        <v>775</v>
      </c>
      <c r="C17" s="935"/>
      <c r="D17" s="938">
        <v>0</v>
      </c>
      <c r="F17" s="937"/>
    </row>
    <row r="18" spans="1:6" ht="15.75">
      <c r="A18" s="924">
        <f t="shared" si="0"/>
        <v>5</v>
      </c>
      <c r="B18" s="935" t="s">
        <v>776</v>
      </c>
      <c r="C18" s="935"/>
      <c r="D18" s="938">
        <f>+D16-D17</f>
        <v>-74897000</v>
      </c>
    </row>
    <row r="19" spans="1:6" ht="15.75">
      <c r="A19" s="924">
        <f t="shared" si="0"/>
        <v>6</v>
      </c>
      <c r="B19" s="935" t="s">
        <v>777</v>
      </c>
      <c r="C19" s="935"/>
      <c r="D19" s="936">
        <v>1652603000</v>
      </c>
    </row>
    <row r="20" spans="1:6" ht="15.75">
      <c r="A20" s="924">
        <f t="shared" si="0"/>
        <v>7</v>
      </c>
      <c r="B20" s="935" t="s">
        <v>778</v>
      </c>
      <c r="C20" s="935"/>
      <c r="D20" s="939">
        <f>+D18/D19</f>
        <v>-4.5320624493601913E-2</v>
      </c>
    </row>
    <row r="21" spans="1:6" ht="15.75">
      <c r="A21" s="924">
        <f t="shared" si="0"/>
        <v>8</v>
      </c>
      <c r="B21" s="935" t="s">
        <v>779</v>
      </c>
      <c r="C21" s="935"/>
      <c r="D21" s="981">
        <v>-4.2999999999999997E-2</v>
      </c>
      <c r="E21" s="940"/>
    </row>
    <row r="22" spans="1:6" ht="15.75">
      <c r="A22" s="924">
        <f t="shared" si="0"/>
        <v>9</v>
      </c>
      <c r="B22" s="935" t="s">
        <v>780</v>
      </c>
      <c r="C22" s="935"/>
      <c r="D22" s="936">
        <v>15703000</v>
      </c>
    </row>
    <row r="23" spans="1:6" ht="15.75">
      <c r="A23" s="924">
        <f t="shared" si="0"/>
        <v>10</v>
      </c>
      <c r="B23" s="935" t="str">
        <f>"Allowable TransCo PBOP Expense for current year (Ln "&amp;A21&amp;" * Ln "&amp;A22&amp;")"</f>
        <v>Allowable TransCo PBOP Expense for current year (Ln 8 * Ln 9)</v>
      </c>
      <c r="C23" s="935"/>
      <c r="D23" s="941">
        <f>ROUND(+D21*D22,-3)</f>
        <v>-675000</v>
      </c>
    </row>
    <row r="24" spans="1:6" ht="15.75">
      <c r="A24" s="924"/>
      <c r="B24" s="935"/>
      <c r="C24" s="935"/>
      <c r="D24" s="941"/>
    </row>
    <row r="25" spans="1:6" ht="15.75">
      <c r="A25" s="924"/>
      <c r="B25" s="935"/>
      <c r="C25" s="935"/>
      <c r="D25" s="941"/>
    </row>
    <row r="26" spans="1:6" ht="15.75">
      <c r="A26" s="924">
        <f>+A23+1</f>
        <v>11</v>
      </c>
      <c r="B26" s="942" t="s">
        <v>781</v>
      </c>
      <c r="C26" s="935"/>
      <c r="D26" s="936">
        <v>0</v>
      </c>
    </row>
    <row r="27" spans="1:6" ht="15.75">
      <c r="A27" s="924">
        <f>+A26+1</f>
        <v>12</v>
      </c>
      <c r="B27" s="935" t="s">
        <v>782</v>
      </c>
      <c r="C27" s="935"/>
      <c r="D27" s="936">
        <v>0</v>
      </c>
    </row>
    <row r="28" spans="1:6" ht="15.75">
      <c r="A28" s="924">
        <f>+A27+1</f>
        <v>13</v>
      </c>
      <c r="B28" s="935" t="s">
        <v>783</v>
      </c>
      <c r="C28" s="935"/>
      <c r="D28" s="936">
        <v>0</v>
      </c>
    </row>
    <row r="29" spans="1:6" ht="16.5" thickBot="1">
      <c r="A29" s="943">
        <f>+A28+1</f>
        <v>14</v>
      </c>
      <c r="B29" s="944" t="s">
        <v>784</v>
      </c>
      <c r="C29" s="945"/>
      <c r="D29" s="1036">
        <v>-1255000</v>
      </c>
    </row>
    <row r="30" spans="1:6" ht="15.75">
      <c r="A30" s="924">
        <f>+A29+1</f>
        <v>15</v>
      </c>
      <c r="B30" s="930" t="s">
        <v>785</v>
      </c>
      <c r="C30" s="930" t="str">
        <f>"(Sum Lines "&amp;A26&amp;"-"&amp;A29&amp;")"</f>
        <v>(Sum Lines 11-14)</v>
      </c>
      <c r="D30" s="946">
        <f>SUM(D26:D29)</f>
        <v>-1255000</v>
      </c>
    </row>
    <row r="31" spans="1:6" ht="15.75">
      <c r="A31" s="924"/>
      <c r="B31" s="930"/>
      <c r="C31" s="930"/>
      <c r="D31" s="946"/>
    </row>
    <row r="32" spans="1:6" ht="15.75">
      <c r="A32" s="924"/>
      <c r="B32" s="930"/>
      <c r="C32" s="930"/>
      <c r="D32" s="946"/>
    </row>
    <row r="33" spans="1:4" ht="15.75">
      <c r="A33" s="924">
        <f>A30+1</f>
        <v>16</v>
      </c>
      <c r="B33" s="930" t="s">
        <v>786</v>
      </c>
      <c r="C33" s="930" t="str">
        <f>"Line "&amp;A23&amp;" less Line "&amp;A30&amp;""</f>
        <v>Line 10 less Line 15</v>
      </c>
      <c r="D33" s="947">
        <f>D23-D30</f>
        <v>580000</v>
      </c>
    </row>
    <row r="34" spans="1:4" ht="15.75">
      <c r="A34" s="924"/>
      <c r="B34" s="930"/>
      <c r="C34" s="930"/>
      <c r="D34" s="947"/>
    </row>
    <row r="35" spans="1:4" ht="15.75">
      <c r="A35" s="935" t="s">
        <v>787</v>
      </c>
    </row>
    <row r="37" spans="1:4" ht="387.75" customHeight="1">
      <c r="A37" s="1223" t="s">
        <v>788</v>
      </c>
      <c r="B37" s="1223"/>
      <c r="C37" s="1223"/>
      <c r="D37" s="1223"/>
    </row>
  </sheetData>
  <mergeCells count="6">
    <mergeCell ref="A37:D37"/>
    <mergeCell ref="A3:D3"/>
    <mergeCell ref="A4:D4"/>
    <mergeCell ref="A5:D5"/>
    <mergeCell ref="A6:D6"/>
    <mergeCell ref="A7:D7"/>
  </mergeCells>
  <pageMargins left="0.25" right="0.33" top="0.78" bottom="0.43" header="0.5" footer="0.21"/>
  <pageSetup scale="68" fitToHeight="0" orientation="portrait" r:id="rId1"/>
  <headerFooter alignWithMargins="0">
    <oddHeader>&amp;R
&amp;A&amp;"Arial,Bold"
&amp;"Arial,Regular"Page &amp;P of &amp;N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codeName="Sheet21">
    <pageSetUpPr fitToPage="1"/>
  </sheetPr>
  <dimension ref="A1:G50"/>
  <sheetViews>
    <sheetView defaultGridColor="0" view="pageBreakPreview" colorId="22" zoomScale="60" zoomScaleNormal="70" workbookViewId="0">
      <selection activeCell="M45" sqref="M45"/>
    </sheetView>
  </sheetViews>
  <sheetFormatPr defaultColWidth="14.7109375" defaultRowHeight="15"/>
  <cols>
    <col min="1" max="1" width="5.7109375" style="612" customWidth="1"/>
    <col min="2" max="2" width="42.5703125" style="612" customWidth="1"/>
    <col min="3" max="3" width="16.28515625" style="612" bestFit="1" customWidth="1"/>
    <col min="4" max="4" width="16.85546875" style="612" customWidth="1"/>
    <col min="5" max="5" width="18" style="612" customWidth="1"/>
    <col min="6" max="7" width="16.28515625" style="612" bestFit="1" customWidth="1"/>
    <col min="8" max="8" width="14.7109375" style="612" customWidth="1"/>
    <col min="9" max="16384" width="14.7109375" style="612"/>
  </cols>
  <sheetData>
    <row r="1" spans="1:7" ht="15.75">
      <c r="A1" s="730" t="s">
        <v>406</v>
      </c>
    </row>
    <row r="2" spans="1:7" ht="15.75">
      <c r="A2" s="730" t="s">
        <v>406</v>
      </c>
    </row>
    <row r="3" spans="1:7" ht="19.5">
      <c r="B3" s="1230" t="s">
        <v>321</v>
      </c>
      <c r="C3" s="1230"/>
      <c r="D3" s="1230"/>
      <c r="E3" s="1230"/>
      <c r="F3" s="611"/>
      <c r="G3" s="611"/>
    </row>
    <row r="4" spans="1:7" ht="19.5">
      <c r="B4" s="1230" t="s">
        <v>216</v>
      </c>
      <c r="C4" s="1230"/>
      <c r="D4" s="1230"/>
      <c r="E4" s="1230"/>
      <c r="F4" s="611"/>
      <c r="G4" s="611"/>
    </row>
    <row r="5" spans="1:7" ht="19.5">
      <c r="B5" s="1230" t="s">
        <v>217</v>
      </c>
      <c r="C5" s="1230"/>
      <c r="D5" s="1230"/>
      <c r="E5" s="1230"/>
      <c r="F5" s="611"/>
      <c r="G5" s="611"/>
    </row>
    <row r="6" spans="1:7" ht="19.5">
      <c r="B6" s="1230" t="s">
        <v>218</v>
      </c>
      <c r="C6" s="1230"/>
      <c r="D6" s="1230"/>
      <c r="E6" s="1230"/>
      <c r="F6" s="611"/>
      <c r="G6" s="611"/>
    </row>
    <row r="7" spans="1:7" ht="19.5">
      <c r="B7" s="1230" t="s">
        <v>914</v>
      </c>
      <c r="C7" s="1230"/>
      <c r="D7" s="1230"/>
      <c r="E7" s="1230"/>
      <c r="F7" s="611"/>
      <c r="G7" s="611"/>
    </row>
    <row r="8" spans="1:7" ht="19.5">
      <c r="B8" s="1230"/>
      <c r="C8" s="1230"/>
      <c r="D8" s="1230"/>
      <c r="E8" s="1230"/>
      <c r="F8" s="611"/>
      <c r="G8" s="611"/>
    </row>
    <row r="9" spans="1:7" ht="19.5">
      <c r="B9" s="1226" t="s">
        <v>793</v>
      </c>
      <c r="C9" s="1131"/>
      <c r="D9" s="1131"/>
      <c r="E9" s="1131"/>
      <c r="F9" s="611"/>
      <c r="G9" s="611"/>
    </row>
    <row r="11" spans="1:7">
      <c r="B11" s="613"/>
      <c r="C11" s="613"/>
      <c r="D11" s="614"/>
    </row>
    <row r="12" spans="1:7" ht="15.75">
      <c r="B12" s="613"/>
      <c r="C12" s="615" t="s">
        <v>33</v>
      </c>
      <c r="D12" s="615" t="s">
        <v>35</v>
      </c>
    </row>
    <row r="13" spans="1:7" ht="16.5" thickBot="1">
      <c r="B13" s="614"/>
      <c r="C13" s="615" t="s">
        <v>34</v>
      </c>
      <c r="D13" s="616" t="s">
        <v>287</v>
      </c>
    </row>
    <row r="14" spans="1:7">
      <c r="B14" s="617" t="s">
        <v>36</v>
      </c>
      <c r="C14" s="618"/>
      <c r="D14" s="104"/>
    </row>
    <row r="15" spans="1:7">
      <c r="B15" s="619"/>
      <c r="C15" s="613"/>
      <c r="D15" s="105"/>
    </row>
    <row r="16" spans="1:7">
      <c r="B16" s="961" t="s">
        <v>915</v>
      </c>
      <c r="C16" s="962">
        <v>350.1</v>
      </c>
      <c r="D16" s="112">
        <v>1.03E-2</v>
      </c>
    </row>
    <row r="17" spans="2:6">
      <c r="B17" s="612" t="s">
        <v>916</v>
      </c>
      <c r="C17" s="962">
        <v>351</v>
      </c>
      <c r="D17" s="112">
        <v>0.14219999999999999</v>
      </c>
      <c r="E17" s="112"/>
      <c r="F17" s="112"/>
    </row>
    <row r="18" spans="2:6">
      <c r="B18" s="612" t="s">
        <v>917</v>
      </c>
      <c r="C18" s="962">
        <v>352</v>
      </c>
      <c r="D18" s="112">
        <v>1.95E-2</v>
      </c>
    </row>
    <row r="19" spans="2:6">
      <c r="B19" s="612" t="s">
        <v>918</v>
      </c>
      <c r="C19" s="962">
        <v>353</v>
      </c>
      <c r="D19" s="112">
        <v>2.4299999999999999E-2</v>
      </c>
    </row>
    <row r="20" spans="2:6">
      <c r="B20" s="612" t="s">
        <v>919</v>
      </c>
      <c r="C20" s="962">
        <v>354</v>
      </c>
      <c r="D20" s="112">
        <v>2.2700000000000001E-2</v>
      </c>
      <c r="E20" s="112"/>
    </row>
    <row r="21" spans="2:6">
      <c r="B21" s="612" t="s">
        <v>920</v>
      </c>
      <c r="C21" s="962">
        <v>355</v>
      </c>
      <c r="D21" s="112">
        <v>3.5299999999999998E-2</v>
      </c>
      <c r="E21" s="963"/>
    </row>
    <row r="22" spans="2:6">
      <c r="B22" s="612" t="s">
        <v>921</v>
      </c>
      <c r="C22" s="962">
        <v>356</v>
      </c>
      <c r="D22" s="112">
        <v>2.3E-2</v>
      </c>
    </row>
    <row r="23" spans="2:6">
      <c r="B23" s="612" t="s">
        <v>922</v>
      </c>
      <c r="C23" s="962">
        <v>357</v>
      </c>
      <c r="D23" s="112">
        <v>2.5899999999999999E-2</v>
      </c>
    </row>
    <row r="24" spans="2:6">
      <c r="C24" s="962"/>
      <c r="D24" s="112"/>
    </row>
    <row r="25" spans="2:6" ht="15.75" thickBot="1">
      <c r="C25" s="962"/>
      <c r="D25" s="112"/>
    </row>
    <row r="26" spans="2:6">
      <c r="B26" s="617" t="s">
        <v>838</v>
      </c>
      <c r="C26" s="618"/>
      <c r="D26" s="104"/>
    </row>
    <row r="27" spans="2:6">
      <c r="C27" s="962"/>
      <c r="D27" s="112"/>
    </row>
    <row r="28" spans="2:6">
      <c r="B28" s="612" t="s">
        <v>916</v>
      </c>
      <c r="C28" s="962">
        <v>390</v>
      </c>
      <c r="D28" s="112">
        <v>2.6499999999999999E-2</v>
      </c>
    </row>
    <row r="29" spans="2:6">
      <c r="B29" s="612" t="s">
        <v>923</v>
      </c>
      <c r="C29" s="962">
        <v>391</v>
      </c>
      <c r="D29" s="112">
        <v>3.73E-2</v>
      </c>
    </row>
    <row r="30" spans="2:6">
      <c r="B30" s="612" t="s">
        <v>924</v>
      </c>
      <c r="C30" s="962">
        <v>393</v>
      </c>
      <c r="D30" s="112">
        <v>0</v>
      </c>
    </row>
    <row r="31" spans="2:6">
      <c r="B31" s="612" t="s">
        <v>839</v>
      </c>
      <c r="C31" s="962">
        <v>394</v>
      </c>
      <c r="D31" s="112">
        <v>4.4299999999999999E-2</v>
      </c>
    </row>
    <row r="32" spans="2:6">
      <c r="B32" s="612" t="s">
        <v>925</v>
      </c>
      <c r="C32" s="962">
        <v>395</v>
      </c>
      <c r="D32" s="112">
        <v>4.5900000000000003E-2</v>
      </c>
    </row>
    <row r="33" spans="1:7">
      <c r="B33" s="612" t="s">
        <v>840</v>
      </c>
      <c r="C33" s="962">
        <v>396</v>
      </c>
      <c r="D33" s="112">
        <v>5.0099999999999999E-2</v>
      </c>
    </row>
    <row r="34" spans="1:7">
      <c r="B34" s="612" t="s">
        <v>926</v>
      </c>
      <c r="C34" s="962">
        <v>394</v>
      </c>
      <c r="D34" s="112">
        <v>4.87E-2</v>
      </c>
    </row>
    <row r="35" spans="1:7">
      <c r="B35" s="612" t="s">
        <v>927</v>
      </c>
      <c r="C35" s="962">
        <v>398</v>
      </c>
      <c r="D35" s="112">
        <v>4.24E-2</v>
      </c>
    </row>
    <row r="36" spans="1:7">
      <c r="C36" s="962"/>
      <c r="D36" s="112"/>
    </row>
    <row r="37" spans="1:7">
      <c r="C37" s="962"/>
      <c r="D37" s="112"/>
    </row>
    <row r="38" spans="1:7">
      <c r="C38" s="962"/>
      <c r="D38" s="112"/>
    </row>
    <row r="40" spans="1:7" ht="91.5" customHeight="1">
      <c r="B40" s="1227" t="s">
        <v>1001</v>
      </c>
      <c r="C40" s="1228"/>
      <c r="D40" s="1228"/>
      <c r="E40" s="1228"/>
      <c r="F40" s="112"/>
      <c r="G40" s="613"/>
    </row>
    <row r="41" spans="1:7" ht="16.5" customHeight="1">
      <c r="B41" s="964"/>
      <c r="C41" s="450"/>
      <c r="D41" s="450"/>
      <c r="E41" s="450"/>
      <c r="F41" s="112"/>
      <c r="G41" s="613"/>
    </row>
    <row r="42" spans="1:7" ht="13.5" customHeight="1">
      <c r="B42" s="965" t="s">
        <v>64</v>
      </c>
      <c r="C42" s="966" t="s">
        <v>829</v>
      </c>
      <c r="D42" s="966" t="s">
        <v>830</v>
      </c>
      <c r="E42" s="967" t="s">
        <v>537</v>
      </c>
    </row>
    <row r="43" spans="1:7">
      <c r="A43" s="612">
        <v>1</v>
      </c>
      <c r="B43" s="968" t="s">
        <v>536</v>
      </c>
      <c r="C43" s="969">
        <v>619883849</v>
      </c>
      <c r="D43" s="969">
        <v>1164351684</v>
      </c>
      <c r="E43" s="970">
        <f>C43+D43</f>
        <v>1784235533</v>
      </c>
    </row>
    <row r="44" spans="1:7">
      <c r="A44" s="612">
        <f>A43+1</f>
        <v>2</v>
      </c>
      <c r="B44" s="968" t="s">
        <v>535</v>
      </c>
      <c r="C44" s="969">
        <v>570478232</v>
      </c>
      <c r="D44" s="969">
        <v>1109431387</v>
      </c>
      <c r="E44" s="970">
        <f>C44+D44</f>
        <v>1679909619</v>
      </c>
    </row>
    <row r="45" spans="1:7">
      <c r="A45" s="612">
        <f>A44+1</f>
        <v>3</v>
      </c>
      <c r="B45" s="968" t="s">
        <v>222</v>
      </c>
      <c r="C45" s="969">
        <f>AVERAGE(C43:C44)</f>
        <v>595181040.5</v>
      </c>
      <c r="D45" s="969">
        <f>AVERAGE(D43:D44)</f>
        <v>1136891535.5</v>
      </c>
      <c r="E45" s="970">
        <f>C45+D45</f>
        <v>1732072576</v>
      </c>
    </row>
    <row r="46" spans="1:7">
      <c r="A46" s="612">
        <f>A45+1</f>
        <v>4</v>
      </c>
      <c r="B46" s="971" t="s">
        <v>538</v>
      </c>
      <c r="C46" s="969">
        <v>12769913</v>
      </c>
      <c r="D46" s="969">
        <v>25505773</v>
      </c>
      <c r="E46" s="970">
        <f>C46+D46</f>
        <v>38275686</v>
      </c>
    </row>
    <row r="47" spans="1:7" ht="15.75">
      <c r="A47" s="612">
        <f>A46+1</f>
        <v>5</v>
      </c>
      <c r="B47" s="972" t="s">
        <v>37</v>
      </c>
      <c r="C47" s="1038" t="s">
        <v>406</v>
      </c>
      <c r="D47" s="1038" t="s">
        <v>406</v>
      </c>
      <c r="E47" s="1039">
        <f>E46/E45</f>
        <v>2.2098199885129986E-2</v>
      </c>
    </row>
    <row r="48" spans="1:7">
      <c r="F48" s="973"/>
      <c r="G48" s="973"/>
    </row>
    <row r="49" spans="2:7" ht="98.25" customHeight="1">
      <c r="B49" s="1227" t="s">
        <v>831</v>
      </c>
      <c r="C49" s="1229"/>
      <c r="D49" s="1229"/>
      <c r="E49" s="1229"/>
      <c r="F49" s="152"/>
      <c r="G49" s="152"/>
    </row>
    <row r="50" spans="2:7" ht="15" customHeight="1">
      <c r="F50" s="152"/>
      <c r="G50" s="152"/>
    </row>
  </sheetData>
  <mergeCells count="9">
    <mergeCell ref="B9:E9"/>
    <mergeCell ref="B40:E40"/>
    <mergeCell ref="B49:E49"/>
    <mergeCell ref="B3:E3"/>
    <mergeCell ref="B4:E4"/>
    <mergeCell ref="B5:E5"/>
    <mergeCell ref="B6:E6"/>
    <mergeCell ref="B7:E7"/>
    <mergeCell ref="B8:E8"/>
  </mergeCells>
  <phoneticPr fontId="3" type="noConversion"/>
  <conditionalFormatting sqref="B3:B9 C4:E8 B11:E11 B51:IV65536">
    <cfRule type="cellIs" dxfId="8" priority="11" stopIfTrue="1" operator="lessThan">
      <formula>0</formula>
    </cfRule>
  </conditionalFormatting>
  <conditionalFormatting sqref="B40:B46 A42:A47 C42:E47">
    <cfRule type="cellIs" dxfId="7" priority="5" stopIfTrue="1" operator="lessThan">
      <formula>0</formula>
    </cfRule>
  </conditionalFormatting>
  <conditionalFormatting sqref="B48:B49">
    <cfRule type="cellIs" dxfId="6" priority="4" stopIfTrue="1" operator="lessThan">
      <formula>0</formula>
    </cfRule>
  </conditionalFormatting>
  <conditionalFormatting sqref="B12:C25">
    <cfRule type="cellIs" dxfId="5" priority="8" stopIfTrue="1" operator="lessThan">
      <formula>0</formula>
    </cfRule>
  </conditionalFormatting>
  <conditionalFormatting sqref="B26:D38">
    <cfRule type="cellIs" dxfId="4" priority="2" stopIfTrue="1" operator="lessThan">
      <formula>0</formula>
    </cfRule>
  </conditionalFormatting>
  <conditionalFormatting sqref="D12 E12:E39 D48">
    <cfRule type="cellIs" dxfId="3" priority="10" stopIfTrue="1" operator="lessThan">
      <formula>0</formula>
    </cfRule>
  </conditionalFormatting>
  <conditionalFormatting sqref="D14:D25">
    <cfRule type="cellIs" dxfId="2" priority="1" stopIfTrue="1" operator="lessThan">
      <formula>0</formula>
    </cfRule>
  </conditionalFormatting>
  <conditionalFormatting sqref="F11:IV41 G42:IV46 H47:IV50 F48:G48">
    <cfRule type="cellIs" dxfId="1" priority="21" stopIfTrue="1" operator="lessThan">
      <formula>0</formula>
    </cfRule>
  </conditionalFormatting>
  <conditionalFormatting sqref="H3:IV10 F4:G9">
    <cfRule type="cellIs" dxfId="0" priority="23" stopIfTrue="1" operator="lessThan">
      <formula>0</formula>
    </cfRule>
  </conditionalFormatting>
  <pageMargins left="0.55000000000000004" right="0.55000000000000004" top="1.25" bottom="0.75" header="0.75" footer="0.27"/>
  <pageSetup scale="63" orientation="portrait" r:id="rId1"/>
  <headerFooter alignWithMargins="0">
    <oddHeader>&amp;RFormula Rate 
&amp;A
Page &amp;P of &amp;N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L238"/>
  <sheetViews>
    <sheetView view="pageBreakPreview" zoomScale="75" zoomScaleNormal="75" zoomScaleSheetLayoutView="75" workbookViewId="0">
      <selection activeCell="A3" sqref="A3:J3"/>
    </sheetView>
  </sheetViews>
  <sheetFormatPr defaultRowHeight="12.75"/>
  <cols>
    <col min="1" max="1" width="4.5703125" style="620" customWidth="1"/>
    <col min="2" max="2" width="68.140625" style="620" customWidth="1"/>
    <col min="3" max="3" width="18.140625" style="620" customWidth="1"/>
    <col min="4" max="4" width="2.140625" style="620" customWidth="1"/>
    <col min="5" max="5" width="17.28515625" style="620" customWidth="1"/>
    <col min="6" max="6" width="16.28515625" style="620" customWidth="1"/>
    <col min="7" max="7" width="14.5703125" style="620" customWidth="1"/>
    <col min="8" max="8" width="17.5703125" style="620" customWidth="1"/>
    <col min="9" max="9" width="14.42578125" style="620" customWidth="1"/>
    <col min="10" max="10" width="15.7109375" style="620" customWidth="1"/>
    <col min="11" max="16384" width="9.140625" style="620"/>
  </cols>
  <sheetData>
    <row r="1" spans="1:10" ht="15.75">
      <c r="A1" s="730" t="s">
        <v>406</v>
      </c>
    </row>
    <row r="2" spans="1:10" ht="15.75">
      <c r="A2" s="730" t="s">
        <v>406</v>
      </c>
    </row>
    <row r="3" spans="1:10">
      <c r="A3" s="1231" t="s">
        <v>505</v>
      </c>
      <c r="B3" s="1231"/>
      <c r="C3" s="1231"/>
      <c r="D3" s="1231"/>
      <c r="E3" s="1231"/>
      <c r="F3" s="1231"/>
      <c r="G3" s="1231"/>
      <c r="H3" s="1231"/>
      <c r="I3" s="1231"/>
      <c r="J3" s="1231"/>
    </row>
    <row r="4" spans="1:10">
      <c r="A4" s="1231" t="str">
        <f>"Consolidation of Operating Companies' Capital Structure @ December 31, "&amp;TCOS!L4&amp;""</f>
        <v>Consolidation of Operating Companies' Capital Structure @ December 31, 2026</v>
      </c>
      <c r="B4" s="1231"/>
      <c r="C4" s="1231"/>
      <c r="D4" s="1231"/>
      <c r="E4" s="1231"/>
      <c r="F4" s="1231"/>
      <c r="G4" s="1231"/>
      <c r="H4" s="1231"/>
      <c r="I4" s="1231"/>
      <c r="J4" s="1231"/>
    </row>
    <row r="5" spans="1:10">
      <c r="A5" s="1231" t="s">
        <v>248</v>
      </c>
      <c r="B5" s="1231"/>
      <c r="C5" s="1231"/>
      <c r="D5" s="1231"/>
      <c r="E5" s="1231"/>
      <c r="F5" s="1231"/>
      <c r="G5" s="1231"/>
      <c r="H5" s="1231"/>
      <c r="I5" s="1231"/>
      <c r="J5" s="1231"/>
    </row>
    <row r="7" spans="1:10" ht="76.5">
      <c r="A7" s="620" t="s">
        <v>459</v>
      </c>
      <c r="C7" s="621" t="s">
        <v>506</v>
      </c>
      <c r="D7" s="621"/>
      <c r="E7" s="621" t="s">
        <v>507</v>
      </c>
      <c r="F7" s="621" t="s">
        <v>508</v>
      </c>
      <c r="G7" s="621" t="s">
        <v>509</v>
      </c>
      <c r="H7" s="621" t="s">
        <v>510</v>
      </c>
      <c r="I7" s="621" t="s">
        <v>511</v>
      </c>
      <c r="J7" s="621" t="s">
        <v>512</v>
      </c>
    </row>
    <row r="8" spans="1:10" ht="15">
      <c r="A8" s="603" t="s">
        <v>513</v>
      </c>
    </row>
    <row r="9" spans="1:10">
      <c r="A9" s="620">
        <v>1</v>
      </c>
      <c r="B9" s="75" t="s">
        <v>338</v>
      </c>
      <c r="C9" s="604"/>
      <c r="D9" s="604"/>
      <c r="E9" s="604"/>
      <c r="F9" s="604"/>
      <c r="G9" s="604"/>
      <c r="H9" s="604"/>
      <c r="I9" s="604"/>
      <c r="J9" s="591">
        <f>SUM(C9:I9)</f>
        <v>0</v>
      </c>
    </row>
    <row r="10" spans="1:10">
      <c r="A10" s="620">
        <f>A9+1</f>
        <v>2</v>
      </c>
      <c r="B10" s="75" t="s">
        <v>339</v>
      </c>
      <c r="C10" s="604"/>
      <c r="D10" s="604"/>
      <c r="E10" s="604"/>
      <c r="F10" s="604"/>
      <c r="G10" s="604"/>
      <c r="H10" s="604"/>
      <c r="I10" s="604"/>
      <c r="J10" s="591">
        <f>SUM(C10:I10)</f>
        <v>0</v>
      </c>
    </row>
    <row r="11" spans="1:10">
      <c r="A11" s="620">
        <f>A10+1</f>
        <v>3</v>
      </c>
      <c r="B11" s="14" t="s">
        <v>23</v>
      </c>
      <c r="C11" s="604"/>
      <c r="D11" s="604"/>
      <c r="E11" s="604"/>
      <c r="F11" s="604"/>
      <c r="G11" s="604"/>
      <c r="H11" s="604"/>
      <c r="I11" s="604"/>
      <c r="J11" s="591">
        <f>SUM(C11:I11)</f>
        <v>0</v>
      </c>
    </row>
    <row r="12" spans="1:10">
      <c r="A12" s="620">
        <f>A11+1</f>
        <v>4</v>
      </c>
      <c r="B12" s="14" t="s">
        <v>17</v>
      </c>
      <c r="C12" s="604"/>
      <c r="D12" s="604"/>
      <c r="E12" s="604"/>
      <c r="F12" s="604"/>
      <c r="G12" s="604"/>
      <c r="H12" s="604"/>
      <c r="I12" s="604"/>
      <c r="J12" s="591">
        <f>SUM(C12:I12)</f>
        <v>0</v>
      </c>
    </row>
    <row r="13" spans="1:10">
      <c r="A13" s="620">
        <f>A12+1</f>
        <v>5</v>
      </c>
      <c r="B13" s="14" t="str">
        <f>"Less: Fair Value Hedges (See Note on Ln "&amp;A16&amp;" below)"</f>
        <v>Less: Fair Value Hedges (See Note on Ln 7 below)</v>
      </c>
      <c r="C13" s="119"/>
      <c r="D13" s="119"/>
      <c r="E13" s="119"/>
      <c r="F13" s="119"/>
      <c r="G13" s="119"/>
      <c r="H13" s="119"/>
      <c r="I13" s="119"/>
      <c r="J13" s="622">
        <f>SUM(C13:I13)</f>
        <v>0</v>
      </c>
    </row>
    <row r="14" spans="1:10">
      <c r="A14" s="620">
        <f>A13+1</f>
        <v>6</v>
      </c>
      <c r="B14" s="13" t="s">
        <v>59</v>
      </c>
      <c r="C14" s="623">
        <f t="shared" ref="C14:J14" si="0">C9-C10+C11+C12-C13</f>
        <v>0</v>
      </c>
      <c r="D14" s="623"/>
      <c r="E14" s="623">
        <f t="shared" si="0"/>
        <v>0</v>
      </c>
      <c r="F14" s="623">
        <f t="shared" si="0"/>
        <v>0</v>
      </c>
      <c r="G14" s="623">
        <f t="shared" si="0"/>
        <v>0</v>
      </c>
      <c r="H14" s="623">
        <f t="shared" si="0"/>
        <v>0</v>
      </c>
      <c r="I14" s="623">
        <f t="shared" si="0"/>
        <v>0</v>
      </c>
      <c r="J14" s="623">
        <f t="shared" si="0"/>
        <v>0</v>
      </c>
    </row>
    <row r="16" spans="1:10" ht="12.75" customHeight="1">
      <c r="A16" s="620">
        <f>A14+1</f>
        <v>7</v>
      </c>
      <c r="B16" s="1232" t="s">
        <v>545</v>
      </c>
      <c r="C16" s="1232"/>
      <c r="D16" s="1232"/>
      <c r="E16" s="1232"/>
      <c r="F16" s="1232"/>
      <c r="G16" s="1232"/>
      <c r="H16" s="1232"/>
      <c r="I16" s="1232"/>
      <c r="J16" s="1232"/>
    </row>
    <row r="17" spans="1:10" ht="12.75" customHeight="1">
      <c r="B17" s="624"/>
      <c r="C17" s="624"/>
      <c r="D17" s="624"/>
      <c r="E17" s="624"/>
      <c r="F17" s="624"/>
      <c r="G17" s="624"/>
      <c r="H17" s="624"/>
      <c r="I17" s="624"/>
      <c r="J17" s="624"/>
    </row>
    <row r="18" spans="1:10" ht="15">
      <c r="A18" s="603" t="s">
        <v>514</v>
      </c>
    </row>
    <row r="19" spans="1:10">
      <c r="A19" s="620">
        <f>A16+1</f>
        <v>8</v>
      </c>
      <c r="B19" s="75" t="s">
        <v>340</v>
      </c>
      <c r="C19" s="118"/>
      <c r="D19" s="118"/>
      <c r="E19" s="118"/>
      <c r="F19" s="118"/>
      <c r="G19" s="118"/>
      <c r="H19" s="118"/>
      <c r="I19" s="118"/>
      <c r="J19" s="344">
        <f t="shared" ref="J19:J24" si="1">SUM(C19:I19)</f>
        <v>0</v>
      </c>
    </row>
    <row r="20" spans="1:10">
      <c r="A20" s="620">
        <f t="shared" ref="A20:A25" si="2">A19+1</f>
        <v>9</v>
      </c>
      <c r="B20" s="75" t="s">
        <v>333</v>
      </c>
      <c r="C20" s="118"/>
      <c r="D20" s="118"/>
      <c r="E20" s="118"/>
      <c r="F20" s="118"/>
      <c r="G20" s="118"/>
      <c r="H20" s="118"/>
      <c r="I20" s="118"/>
      <c r="J20" s="344">
        <f t="shared" si="1"/>
        <v>0</v>
      </c>
    </row>
    <row r="21" spans="1:10">
      <c r="A21" s="620">
        <f t="shared" si="2"/>
        <v>10</v>
      </c>
      <c r="B21" s="75" t="s">
        <v>334</v>
      </c>
      <c r="C21" s="118"/>
      <c r="D21" s="118"/>
      <c r="E21" s="118"/>
      <c r="F21" s="118"/>
      <c r="G21" s="118"/>
      <c r="H21" s="118"/>
      <c r="I21" s="118"/>
      <c r="J21" s="344">
        <f t="shared" si="1"/>
        <v>0</v>
      </c>
    </row>
    <row r="22" spans="1:10">
      <c r="A22" s="620">
        <f t="shared" si="2"/>
        <v>11</v>
      </c>
      <c r="B22" s="75" t="s">
        <v>335</v>
      </c>
      <c r="C22" s="604"/>
      <c r="D22" s="604"/>
      <c r="E22" s="604"/>
      <c r="F22" s="604"/>
      <c r="G22" s="604"/>
      <c r="H22" s="604"/>
      <c r="I22" s="604"/>
      <c r="J22" s="591">
        <f t="shared" si="1"/>
        <v>0</v>
      </c>
    </row>
    <row r="23" spans="1:10">
      <c r="A23" s="620">
        <f t="shared" si="2"/>
        <v>12</v>
      </c>
      <c r="B23" s="75" t="s">
        <v>336</v>
      </c>
      <c r="C23" s="604"/>
      <c r="D23" s="604"/>
      <c r="E23" s="604"/>
      <c r="F23" s="604"/>
      <c r="G23" s="604"/>
      <c r="H23" s="604"/>
      <c r="I23" s="604"/>
      <c r="J23" s="591">
        <f t="shared" si="1"/>
        <v>0</v>
      </c>
    </row>
    <row r="24" spans="1:10">
      <c r="A24" s="620">
        <f t="shared" si="2"/>
        <v>13</v>
      </c>
      <c r="B24" s="625" t="s">
        <v>515</v>
      </c>
      <c r="C24" s="119"/>
      <c r="D24" s="119"/>
      <c r="E24" s="119"/>
      <c r="F24" s="119"/>
      <c r="G24" s="119"/>
      <c r="H24" s="119"/>
      <c r="I24" s="119"/>
      <c r="J24" s="622">
        <f t="shared" si="1"/>
        <v>0</v>
      </c>
    </row>
    <row r="25" spans="1:10">
      <c r="A25" s="620">
        <f t="shared" si="2"/>
        <v>14</v>
      </c>
      <c r="B25" s="626" t="s">
        <v>60</v>
      </c>
      <c r="C25" s="627">
        <f t="shared" ref="C25:J25" si="3">C19+C20+C21-C22-C23-C24</f>
        <v>0</v>
      </c>
      <c r="D25" s="627"/>
      <c r="E25" s="627">
        <f t="shared" si="3"/>
        <v>0</v>
      </c>
      <c r="F25" s="627">
        <f t="shared" si="3"/>
        <v>0</v>
      </c>
      <c r="G25" s="627">
        <f t="shared" si="3"/>
        <v>0</v>
      </c>
      <c r="H25" s="627">
        <f t="shared" si="3"/>
        <v>0</v>
      </c>
      <c r="I25" s="627">
        <f t="shared" si="3"/>
        <v>0</v>
      </c>
      <c r="J25" s="627">
        <f t="shared" si="3"/>
        <v>0</v>
      </c>
    </row>
    <row r="27" spans="1:10" ht="15">
      <c r="A27" s="603" t="s">
        <v>516</v>
      </c>
      <c r="B27" s="628"/>
      <c r="C27" s="628"/>
      <c r="D27" s="628"/>
      <c r="E27" s="628"/>
    </row>
    <row r="28" spans="1:10">
      <c r="A28" s="620">
        <f>A25+1</f>
        <v>15</v>
      </c>
      <c r="B28" s="76" t="s">
        <v>517</v>
      </c>
      <c r="C28" s="605"/>
      <c r="D28" s="644"/>
      <c r="E28" s="645"/>
      <c r="F28" s="644"/>
      <c r="G28" s="644"/>
      <c r="H28" s="605"/>
      <c r="I28" s="644"/>
      <c r="J28" s="629"/>
    </row>
    <row r="29" spans="1:10">
      <c r="A29" s="620">
        <f>A28+1</f>
        <v>16</v>
      </c>
      <c r="B29" s="76" t="s">
        <v>518</v>
      </c>
      <c r="C29" s="606"/>
      <c r="D29" s="646"/>
      <c r="E29" s="606"/>
      <c r="F29" s="646"/>
      <c r="G29" s="646"/>
      <c r="H29" s="606"/>
      <c r="I29" s="646"/>
      <c r="J29" s="630"/>
    </row>
    <row r="30" spans="1:10">
      <c r="A30" s="620">
        <f>A29+1</f>
        <v>17</v>
      </c>
      <c r="B30" s="76" t="s">
        <v>519</v>
      </c>
      <c r="C30" s="118"/>
      <c r="D30" s="647"/>
      <c r="E30" s="118"/>
      <c r="F30" s="647"/>
      <c r="G30" s="647"/>
      <c r="H30" s="118"/>
      <c r="I30" s="647"/>
    </row>
    <row r="31" spans="1:10">
      <c r="A31" s="620">
        <f>A30+1</f>
        <v>18</v>
      </c>
      <c r="B31" s="76" t="str">
        <f>"Monetary Value (Ln "&amp;A29&amp;" * Ln "&amp;A30&amp;")"</f>
        <v>Monetary Value (Ln 16 * Ln 17)</v>
      </c>
      <c r="C31" s="343">
        <f t="shared" ref="C31:I31" si="4">C29*C30</f>
        <v>0</v>
      </c>
      <c r="D31" s="343"/>
      <c r="E31" s="343">
        <f t="shared" si="4"/>
        <v>0</v>
      </c>
      <c r="F31" s="343">
        <f t="shared" si="4"/>
        <v>0</v>
      </c>
      <c r="G31" s="343">
        <f t="shared" si="4"/>
        <v>0</v>
      </c>
      <c r="H31" s="343">
        <f t="shared" si="4"/>
        <v>0</v>
      </c>
      <c r="I31" s="343">
        <f t="shared" si="4"/>
        <v>0</v>
      </c>
      <c r="J31" s="627">
        <f>SUM(C31:I31)</f>
        <v>0</v>
      </c>
    </row>
    <row r="32" spans="1:10">
      <c r="A32" s="620">
        <f>A31+1</f>
        <v>19</v>
      </c>
      <c r="B32" s="76" t="str">
        <f>"Dividend Amount (Ln "&amp;A28&amp;" * Ln "&amp;A31&amp;")"</f>
        <v>Dividend Amount (Ln 15 * Ln 18)</v>
      </c>
      <c r="C32" s="343">
        <f t="shared" ref="C32:I32" si="5">C31*C28</f>
        <v>0</v>
      </c>
      <c r="D32" s="343"/>
      <c r="E32" s="343">
        <f t="shared" si="5"/>
        <v>0</v>
      </c>
      <c r="F32" s="343">
        <f t="shared" si="5"/>
        <v>0</v>
      </c>
      <c r="G32" s="343">
        <f t="shared" si="5"/>
        <v>0</v>
      </c>
      <c r="H32" s="343">
        <f t="shared" si="5"/>
        <v>0</v>
      </c>
      <c r="I32" s="343">
        <f t="shared" si="5"/>
        <v>0</v>
      </c>
      <c r="J32" s="627">
        <f>SUM(C32:I32)</f>
        <v>0</v>
      </c>
    </row>
    <row r="34" spans="1:10">
      <c r="A34" s="620">
        <f>A32+1</f>
        <v>20</v>
      </c>
      <c r="B34" s="76" t="s">
        <v>517</v>
      </c>
      <c r="C34" s="605"/>
      <c r="D34" s="644"/>
      <c r="E34" s="645"/>
      <c r="F34" s="644"/>
      <c r="G34" s="644"/>
      <c r="H34" s="605"/>
      <c r="I34" s="644"/>
    </row>
    <row r="35" spans="1:10">
      <c r="A35" s="620">
        <f>A34+1</f>
        <v>21</v>
      </c>
      <c r="B35" s="76" t="s">
        <v>518</v>
      </c>
      <c r="C35" s="606"/>
      <c r="D35" s="646"/>
      <c r="E35" s="606"/>
      <c r="F35" s="646"/>
      <c r="G35" s="646"/>
      <c r="H35" s="606"/>
      <c r="I35" s="646"/>
    </row>
    <row r="36" spans="1:10">
      <c r="A36" s="620">
        <f>A35+1</f>
        <v>22</v>
      </c>
      <c r="B36" s="76" t="s">
        <v>519</v>
      </c>
      <c r="C36" s="118"/>
      <c r="D36" s="647"/>
      <c r="E36" s="118"/>
      <c r="F36" s="647"/>
      <c r="G36" s="647"/>
      <c r="H36" s="118"/>
      <c r="I36" s="647"/>
    </row>
    <row r="37" spans="1:10">
      <c r="A37" s="620">
        <f>A36+1</f>
        <v>23</v>
      </c>
      <c r="B37" s="76" t="str">
        <f>"Monetary Value (Ln "&amp;A35&amp;" * Ln "&amp;A36&amp;")"</f>
        <v>Monetary Value (Ln 21 * Ln 22)</v>
      </c>
      <c r="C37" s="343">
        <f t="shared" ref="C37:I37" si="6">C35*C36</f>
        <v>0</v>
      </c>
      <c r="D37" s="343"/>
      <c r="E37" s="343">
        <f t="shared" si="6"/>
        <v>0</v>
      </c>
      <c r="F37" s="343">
        <f t="shared" si="6"/>
        <v>0</v>
      </c>
      <c r="G37" s="343">
        <f t="shared" si="6"/>
        <v>0</v>
      </c>
      <c r="H37" s="343">
        <f t="shared" si="6"/>
        <v>0</v>
      </c>
      <c r="I37" s="343">
        <f t="shared" si="6"/>
        <v>0</v>
      </c>
      <c r="J37" s="627">
        <f>SUM(C37:I37)</f>
        <v>0</v>
      </c>
    </row>
    <row r="38" spans="1:10">
      <c r="A38" s="620">
        <f>A37+1</f>
        <v>24</v>
      </c>
      <c r="B38" s="76" t="str">
        <f>"Dividend Amount (Ln "&amp;A34&amp;" * Ln "&amp;A37&amp;")"</f>
        <v>Dividend Amount (Ln 20 * Ln 23)</v>
      </c>
      <c r="C38" s="343">
        <f t="shared" ref="C38:I38" si="7">C37*C34</f>
        <v>0</v>
      </c>
      <c r="D38" s="343"/>
      <c r="E38" s="343">
        <f t="shared" si="7"/>
        <v>0</v>
      </c>
      <c r="F38" s="343">
        <f t="shared" si="7"/>
        <v>0</v>
      </c>
      <c r="G38" s="343">
        <f t="shared" si="7"/>
        <v>0</v>
      </c>
      <c r="H38" s="343">
        <f t="shared" si="7"/>
        <v>0</v>
      </c>
      <c r="I38" s="343">
        <f t="shared" si="7"/>
        <v>0</v>
      </c>
      <c r="J38" s="627">
        <f>SUM(C38:I38)</f>
        <v>0</v>
      </c>
    </row>
    <row r="40" spans="1:10">
      <c r="A40" s="620">
        <f>A38+1</f>
        <v>25</v>
      </c>
      <c r="B40" s="76" t="s">
        <v>517</v>
      </c>
      <c r="C40" s="605"/>
      <c r="D40" s="644"/>
      <c r="E40" s="645"/>
      <c r="F40" s="644"/>
      <c r="G40" s="644"/>
      <c r="H40" s="605"/>
      <c r="I40" s="644"/>
    </row>
    <row r="41" spans="1:10">
      <c r="A41" s="620">
        <f>A40+1</f>
        <v>26</v>
      </c>
      <c r="B41" s="76" t="s">
        <v>518</v>
      </c>
      <c r="C41" s="606"/>
      <c r="D41" s="646"/>
      <c r="E41" s="606"/>
      <c r="F41" s="646"/>
      <c r="G41" s="646"/>
      <c r="H41" s="606"/>
      <c r="I41" s="646"/>
    </row>
    <row r="42" spans="1:10">
      <c r="A42" s="620">
        <f>A41+1</f>
        <v>27</v>
      </c>
      <c r="B42" s="76" t="s">
        <v>519</v>
      </c>
      <c r="C42" s="118"/>
      <c r="D42" s="647"/>
      <c r="E42" s="118"/>
      <c r="F42" s="647"/>
      <c r="G42" s="647"/>
      <c r="H42" s="118"/>
      <c r="I42" s="647"/>
    </row>
    <row r="43" spans="1:10">
      <c r="A43" s="620">
        <f>A42+1</f>
        <v>28</v>
      </c>
      <c r="B43" s="76" t="str">
        <f>"Monetary Value (Ln "&amp;A41&amp;" * Ln "&amp;A42&amp;")"</f>
        <v>Monetary Value (Ln 26 * Ln 27)</v>
      </c>
      <c r="C43" s="343">
        <f t="shared" ref="C43:I43" si="8">C41*C42</f>
        <v>0</v>
      </c>
      <c r="D43" s="343"/>
      <c r="E43" s="343">
        <f t="shared" si="8"/>
        <v>0</v>
      </c>
      <c r="F43" s="343">
        <f t="shared" si="8"/>
        <v>0</v>
      </c>
      <c r="G43" s="343">
        <f t="shared" si="8"/>
        <v>0</v>
      </c>
      <c r="H43" s="343">
        <f t="shared" si="8"/>
        <v>0</v>
      </c>
      <c r="I43" s="343">
        <f t="shared" si="8"/>
        <v>0</v>
      </c>
      <c r="J43" s="627">
        <f>SUM(C43:I43)</f>
        <v>0</v>
      </c>
    </row>
    <row r="44" spans="1:10">
      <c r="A44" s="620">
        <f>A43+1</f>
        <v>29</v>
      </c>
      <c r="B44" s="76" t="str">
        <f>"Dividend Amount (Ln "&amp;A40&amp;" * Ln "&amp;A43&amp;")"</f>
        <v>Dividend Amount (Ln 25 * Ln 28)</v>
      </c>
      <c r="C44" s="343">
        <f t="shared" ref="C44:I44" si="9">C43*C40</f>
        <v>0</v>
      </c>
      <c r="D44" s="343"/>
      <c r="E44" s="343">
        <f t="shared" si="9"/>
        <v>0</v>
      </c>
      <c r="F44" s="343">
        <f t="shared" si="9"/>
        <v>0</v>
      </c>
      <c r="G44" s="343">
        <f t="shared" si="9"/>
        <v>0</v>
      </c>
      <c r="H44" s="343">
        <f t="shared" si="9"/>
        <v>0</v>
      </c>
      <c r="I44" s="343">
        <f t="shared" si="9"/>
        <v>0</v>
      </c>
      <c r="J44" s="627">
        <f>SUM(C44:I44)</f>
        <v>0</v>
      </c>
    </row>
    <row r="46" spans="1:10">
      <c r="A46" s="620">
        <f>A44+1</f>
        <v>30</v>
      </c>
      <c r="B46" s="76" t="s">
        <v>517</v>
      </c>
      <c r="C46" s="605"/>
      <c r="D46" s="644"/>
      <c r="E46" s="645"/>
      <c r="F46" s="644"/>
      <c r="G46" s="644"/>
      <c r="H46" s="605"/>
      <c r="I46" s="644"/>
    </row>
    <row r="47" spans="1:10">
      <c r="A47" s="620">
        <f>A46+1</f>
        <v>31</v>
      </c>
      <c r="B47" s="76" t="s">
        <v>518</v>
      </c>
      <c r="C47" s="606"/>
      <c r="D47" s="646"/>
      <c r="E47" s="606"/>
      <c r="F47" s="646"/>
      <c r="G47" s="646"/>
      <c r="H47" s="606"/>
      <c r="I47" s="646"/>
    </row>
    <row r="48" spans="1:10">
      <c r="A48" s="620">
        <f>A47+1</f>
        <v>32</v>
      </c>
      <c r="B48" s="76" t="s">
        <v>519</v>
      </c>
      <c r="C48" s="118"/>
      <c r="D48" s="647"/>
      <c r="E48" s="118"/>
      <c r="F48" s="647"/>
      <c r="G48" s="647"/>
      <c r="H48" s="118"/>
      <c r="I48" s="647"/>
    </row>
    <row r="49" spans="1:10">
      <c r="A49" s="620">
        <f>A48+1</f>
        <v>33</v>
      </c>
      <c r="B49" s="76" t="str">
        <f>"Monetary Value (Ln "&amp;A47&amp;" * Ln "&amp;A48&amp;")"</f>
        <v>Monetary Value (Ln 31 * Ln 32)</v>
      </c>
      <c r="C49" s="343">
        <f t="shared" ref="C49:I49" si="10">C47*C48</f>
        <v>0</v>
      </c>
      <c r="D49" s="343"/>
      <c r="E49" s="343">
        <f t="shared" si="10"/>
        <v>0</v>
      </c>
      <c r="F49" s="343">
        <f t="shared" si="10"/>
        <v>0</v>
      </c>
      <c r="G49" s="343">
        <f t="shared" si="10"/>
        <v>0</v>
      </c>
      <c r="H49" s="343">
        <f t="shared" si="10"/>
        <v>0</v>
      </c>
      <c r="I49" s="343">
        <f t="shared" si="10"/>
        <v>0</v>
      </c>
      <c r="J49" s="627">
        <f>SUM(C49:I49)</f>
        <v>0</v>
      </c>
    </row>
    <row r="50" spans="1:10">
      <c r="A50" s="620">
        <f>A49+1</f>
        <v>34</v>
      </c>
      <c r="B50" s="76" t="str">
        <f>"Dividend Amount (Ln "&amp;A46&amp;" * Ln "&amp;A49&amp;")"</f>
        <v>Dividend Amount (Ln 30 * Ln 33)</v>
      </c>
      <c r="C50" s="343">
        <f t="shared" ref="C50:I50" si="11">C49*C46</f>
        <v>0</v>
      </c>
      <c r="D50" s="343"/>
      <c r="E50" s="343">
        <f t="shared" si="11"/>
        <v>0</v>
      </c>
      <c r="F50" s="343">
        <f t="shared" si="11"/>
        <v>0</v>
      </c>
      <c r="G50" s="343">
        <f t="shared" si="11"/>
        <v>0</v>
      </c>
      <c r="H50" s="343">
        <f t="shared" si="11"/>
        <v>0</v>
      </c>
      <c r="I50" s="343">
        <f t="shared" si="11"/>
        <v>0</v>
      </c>
      <c r="J50" s="627">
        <f>SUM(C50:I50)</f>
        <v>0</v>
      </c>
    </row>
    <row r="51" spans="1:10">
      <c r="B51" s="76"/>
    </row>
    <row r="52" spans="1:10">
      <c r="A52" s="620">
        <f>A50+1</f>
        <v>35</v>
      </c>
      <c r="B52" s="346" t="str">
        <f>"Preferred Stock (Lns "&amp;A31&amp;", "&amp;A37&amp;", "&amp;A43&amp;","&amp;A49&amp;")"</f>
        <v>Preferred Stock (Lns 18, 23, 28,33)</v>
      </c>
      <c r="C52" s="627">
        <f t="shared" ref="C52:I53" si="12">C31+C37+C43+C49</f>
        <v>0</v>
      </c>
      <c r="D52" s="627"/>
      <c r="E52" s="627">
        <f t="shared" si="12"/>
        <v>0</v>
      </c>
      <c r="F52" s="627">
        <f t="shared" si="12"/>
        <v>0</v>
      </c>
      <c r="G52" s="627">
        <f t="shared" si="12"/>
        <v>0</v>
      </c>
      <c r="H52" s="627">
        <f t="shared" si="12"/>
        <v>0</v>
      </c>
      <c r="I52" s="627">
        <f t="shared" si="12"/>
        <v>0</v>
      </c>
      <c r="J52" s="627">
        <f>SUM(C52:I52)</f>
        <v>0</v>
      </c>
    </row>
    <row r="53" spans="1:10">
      <c r="A53" s="620">
        <f>A52+1</f>
        <v>36</v>
      </c>
      <c r="B53" s="346" t="str">
        <f>"Preferred Dividends (Lns "&amp;A32&amp;", "&amp;A38&amp;", "&amp;A44&amp;","&amp;A50&amp;")"</f>
        <v>Preferred Dividends (Lns 19, 24, 29,34)</v>
      </c>
      <c r="C53" s="627">
        <f t="shared" si="12"/>
        <v>0</v>
      </c>
      <c r="D53" s="627"/>
      <c r="E53" s="627">
        <f t="shared" si="12"/>
        <v>0</v>
      </c>
      <c r="F53" s="627">
        <f t="shared" si="12"/>
        <v>0</v>
      </c>
      <c r="G53" s="627">
        <f t="shared" si="12"/>
        <v>0</v>
      </c>
      <c r="H53" s="627">
        <f t="shared" si="12"/>
        <v>0</v>
      </c>
      <c r="I53" s="627">
        <f t="shared" si="12"/>
        <v>0</v>
      </c>
      <c r="J53" s="627">
        <f>SUM(C53:I53)</f>
        <v>0</v>
      </c>
    </row>
    <row r="54" spans="1:10">
      <c r="B54" s="631"/>
    </row>
    <row r="55" spans="1:10" ht="15">
      <c r="A55" s="603" t="s">
        <v>520</v>
      </c>
    </row>
    <row r="56" spans="1:10">
      <c r="A56" s="620">
        <f>A53+1</f>
        <v>37</v>
      </c>
      <c r="B56" s="453" t="s">
        <v>521</v>
      </c>
      <c r="C56" s="118"/>
      <c r="D56" s="118"/>
      <c r="E56" s="118"/>
      <c r="F56" s="118"/>
      <c r="G56" s="118"/>
      <c r="H56" s="118"/>
      <c r="I56" s="118"/>
      <c r="J56" s="627">
        <f>SUM(C56:I56)</f>
        <v>0</v>
      </c>
    </row>
    <row r="57" spans="1:10">
      <c r="A57" s="620">
        <f>A56+1</f>
        <v>38</v>
      </c>
      <c r="B57" s="453" t="str">
        <f>"Less: Preferred Stock (Ln "&amp;A52&amp;" Above)"</f>
        <v>Less: Preferred Stock (Ln 35 Above)</v>
      </c>
      <c r="C57" s="344">
        <f t="shared" ref="C57:I57" si="13">C52</f>
        <v>0</v>
      </c>
      <c r="D57" s="344"/>
      <c r="E57" s="344">
        <f t="shared" si="13"/>
        <v>0</v>
      </c>
      <c r="F57" s="344">
        <f t="shared" si="13"/>
        <v>0</v>
      </c>
      <c r="G57" s="344">
        <f t="shared" si="13"/>
        <v>0</v>
      </c>
      <c r="H57" s="344">
        <f t="shared" si="13"/>
        <v>0</v>
      </c>
      <c r="I57" s="344">
        <f t="shared" si="13"/>
        <v>0</v>
      </c>
      <c r="J57" s="627">
        <f>SUM(C57:I57)</f>
        <v>0</v>
      </c>
    </row>
    <row r="58" spans="1:10">
      <c r="A58" s="620">
        <f>A57+1</f>
        <v>39</v>
      </c>
      <c r="B58" s="453" t="s">
        <v>522</v>
      </c>
      <c r="C58" s="604"/>
      <c r="D58" s="604"/>
      <c r="E58" s="604"/>
      <c r="F58" s="604"/>
      <c r="G58" s="604"/>
      <c r="H58" s="604"/>
      <c r="I58" s="604"/>
      <c r="J58" s="627">
        <f>SUM(C58:I58)</f>
        <v>0</v>
      </c>
    </row>
    <row r="59" spans="1:10">
      <c r="A59" s="620">
        <f>A58+1</f>
        <v>40</v>
      </c>
      <c r="B59" s="453" t="s">
        <v>523</v>
      </c>
      <c r="C59" s="119"/>
      <c r="D59" s="119"/>
      <c r="E59" s="119"/>
      <c r="F59" s="119"/>
      <c r="G59" s="119"/>
      <c r="H59" s="119"/>
      <c r="I59" s="119"/>
      <c r="J59" s="632">
        <f>SUM(C59:I59)</f>
        <v>0</v>
      </c>
    </row>
    <row r="60" spans="1:10">
      <c r="A60" s="620">
        <f>A59+1</f>
        <v>41</v>
      </c>
      <c r="B60" s="457" t="s">
        <v>524</v>
      </c>
      <c r="C60" s="591">
        <f t="shared" ref="C60:J60" si="14">C56-C57-C58-C59</f>
        <v>0</v>
      </c>
      <c r="D60" s="591"/>
      <c r="E60" s="591">
        <f t="shared" si="14"/>
        <v>0</v>
      </c>
      <c r="F60" s="591">
        <f t="shared" si="14"/>
        <v>0</v>
      </c>
      <c r="G60" s="591">
        <f t="shared" si="14"/>
        <v>0</v>
      </c>
      <c r="H60" s="591">
        <f t="shared" si="14"/>
        <v>0</v>
      </c>
      <c r="I60" s="591">
        <f t="shared" si="14"/>
        <v>0</v>
      </c>
      <c r="J60" s="591">
        <f t="shared" si="14"/>
        <v>0</v>
      </c>
    </row>
    <row r="62" spans="1:10" ht="15">
      <c r="A62" s="603" t="s">
        <v>525</v>
      </c>
    </row>
    <row r="63" spans="1:10">
      <c r="A63" s="620">
        <f>A60+1</f>
        <v>42</v>
      </c>
      <c r="B63" s="7" t="str">
        <f>"Long Term Debt (Ln "&amp;A14&amp;" Above)"</f>
        <v>Long Term Debt (Ln 6 Above)</v>
      </c>
      <c r="C63" s="627">
        <f t="shared" ref="C63:J63" si="15">C14</f>
        <v>0</v>
      </c>
      <c r="D63" s="627"/>
      <c r="E63" s="627">
        <f t="shared" si="15"/>
        <v>0</v>
      </c>
      <c r="F63" s="627">
        <f t="shared" si="15"/>
        <v>0</v>
      </c>
      <c r="G63" s="627">
        <f t="shared" si="15"/>
        <v>0</v>
      </c>
      <c r="H63" s="627">
        <f t="shared" si="15"/>
        <v>0</v>
      </c>
      <c r="I63" s="627">
        <f t="shared" si="15"/>
        <v>0</v>
      </c>
      <c r="J63" s="627">
        <f t="shared" si="15"/>
        <v>0</v>
      </c>
    </row>
    <row r="64" spans="1:10">
      <c r="A64" s="620">
        <f>A63+1</f>
        <v>43</v>
      </c>
      <c r="B64" s="7" t="str">
        <f>"Preferred Stock (Ln "&amp;A52&amp;" Above)"</f>
        <v>Preferred Stock (Ln 35 Above)</v>
      </c>
      <c r="C64" s="627">
        <f t="shared" ref="C64:J64" si="16">C52</f>
        <v>0</v>
      </c>
      <c r="D64" s="627"/>
      <c r="E64" s="627">
        <f t="shared" si="16"/>
        <v>0</v>
      </c>
      <c r="F64" s="627">
        <f t="shared" si="16"/>
        <v>0</v>
      </c>
      <c r="G64" s="627">
        <f t="shared" si="16"/>
        <v>0</v>
      </c>
      <c r="H64" s="627">
        <f t="shared" si="16"/>
        <v>0</v>
      </c>
      <c r="I64" s="627">
        <f t="shared" si="16"/>
        <v>0</v>
      </c>
      <c r="J64" s="627">
        <f t="shared" si="16"/>
        <v>0</v>
      </c>
    </row>
    <row r="65" spans="1:10">
      <c r="A65" s="620">
        <f>A64+1</f>
        <v>44</v>
      </c>
      <c r="B65" s="7" t="str">
        <f>"Common Equity (Ln "&amp;A60&amp;" Above)"</f>
        <v>Common Equity (Ln 41 Above)</v>
      </c>
      <c r="C65" s="632">
        <f t="shared" ref="C65:J65" si="17">C60</f>
        <v>0</v>
      </c>
      <c r="D65" s="632"/>
      <c r="E65" s="632">
        <f t="shared" si="17"/>
        <v>0</v>
      </c>
      <c r="F65" s="632">
        <f t="shared" si="17"/>
        <v>0</v>
      </c>
      <c r="G65" s="632">
        <f t="shared" si="17"/>
        <v>0</v>
      </c>
      <c r="H65" s="632">
        <f t="shared" si="17"/>
        <v>0</v>
      </c>
      <c r="I65" s="632">
        <f t="shared" si="17"/>
        <v>0</v>
      </c>
      <c r="J65" s="632">
        <f t="shared" si="17"/>
        <v>0</v>
      </c>
    </row>
    <row r="66" spans="1:10">
      <c r="A66" s="620">
        <f>A65+1</f>
        <v>45</v>
      </c>
      <c r="B66" s="620" t="s">
        <v>526</v>
      </c>
      <c r="C66" s="627">
        <f t="shared" ref="C66:J66" si="18">SUM(C63:C65)</f>
        <v>0</v>
      </c>
      <c r="D66" s="627"/>
      <c r="E66" s="627">
        <f t="shared" si="18"/>
        <v>0</v>
      </c>
      <c r="F66" s="627">
        <f t="shared" si="18"/>
        <v>0</v>
      </c>
      <c r="G66" s="627">
        <f t="shared" si="18"/>
        <v>0</v>
      </c>
      <c r="H66" s="627">
        <f t="shared" si="18"/>
        <v>0</v>
      </c>
      <c r="I66" s="627">
        <f t="shared" si="18"/>
        <v>0</v>
      </c>
      <c r="J66" s="627">
        <f t="shared" si="18"/>
        <v>0</v>
      </c>
    </row>
    <row r="68" spans="1:10">
      <c r="A68" s="620">
        <f>A66+1</f>
        <v>46</v>
      </c>
      <c r="B68" s="7" t="str">
        <f>"LTD Capital Shares (Ln "&amp;A63&amp;" / Ln "&amp;A66&amp;")"</f>
        <v>LTD Capital Shares (Ln 42 / Ln 45)</v>
      </c>
      <c r="C68" s="633" t="e">
        <f t="shared" ref="C68:J68" si="19">C63/C66</f>
        <v>#DIV/0!</v>
      </c>
      <c r="D68" s="633"/>
      <c r="E68" s="633" t="e">
        <f t="shared" si="19"/>
        <v>#DIV/0!</v>
      </c>
      <c r="F68" s="633" t="e">
        <f t="shared" si="19"/>
        <v>#DIV/0!</v>
      </c>
      <c r="G68" s="633" t="e">
        <f t="shared" si="19"/>
        <v>#DIV/0!</v>
      </c>
      <c r="H68" s="633" t="e">
        <f t="shared" si="19"/>
        <v>#DIV/0!</v>
      </c>
      <c r="I68" s="633" t="e">
        <f t="shared" si="19"/>
        <v>#DIV/0!</v>
      </c>
      <c r="J68" s="633" t="e">
        <f t="shared" si="19"/>
        <v>#DIV/0!</v>
      </c>
    </row>
    <row r="69" spans="1:10">
      <c r="A69" s="620">
        <f>A68+1</f>
        <v>47</v>
      </c>
      <c r="B69" s="7" t="str">
        <f>"Preferred Stock Capital Shares (Ln "&amp;A64&amp;" / Ln "&amp;A66&amp;")"</f>
        <v>Preferred Stock Capital Shares (Ln 43 / Ln 45)</v>
      </c>
      <c r="C69" s="633" t="e">
        <f t="shared" ref="C69:J69" si="20">C64/C66</f>
        <v>#DIV/0!</v>
      </c>
      <c r="D69" s="633"/>
      <c r="E69" s="633" t="e">
        <f t="shared" si="20"/>
        <v>#DIV/0!</v>
      </c>
      <c r="F69" s="633" t="e">
        <f t="shared" si="20"/>
        <v>#DIV/0!</v>
      </c>
      <c r="G69" s="633" t="e">
        <f t="shared" si="20"/>
        <v>#DIV/0!</v>
      </c>
      <c r="H69" s="633" t="e">
        <f t="shared" si="20"/>
        <v>#DIV/0!</v>
      </c>
      <c r="I69" s="633" t="e">
        <f t="shared" si="20"/>
        <v>#DIV/0!</v>
      </c>
      <c r="J69" s="633" t="e">
        <f t="shared" si="20"/>
        <v>#DIV/0!</v>
      </c>
    </row>
    <row r="70" spans="1:10">
      <c r="A70" s="620">
        <f>A69+1</f>
        <v>48</v>
      </c>
      <c r="B70" s="7" t="str">
        <f>"Common Equity Capital Shares (Ln "&amp;A65&amp;" / Ln "&amp;A66&amp;")"</f>
        <v>Common Equity Capital Shares (Ln 44 / Ln 45)</v>
      </c>
      <c r="C70" s="634" t="e">
        <f t="shared" ref="C70:J70" si="21">C65/C66</f>
        <v>#DIV/0!</v>
      </c>
      <c r="D70" s="634"/>
      <c r="E70" s="634" t="e">
        <f t="shared" si="21"/>
        <v>#DIV/0!</v>
      </c>
      <c r="F70" s="634" t="e">
        <f t="shared" si="21"/>
        <v>#DIV/0!</v>
      </c>
      <c r="G70" s="634" t="e">
        <f t="shared" si="21"/>
        <v>#DIV/0!</v>
      </c>
      <c r="H70" s="634" t="e">
        <f t="shared" si="21"/>
        <v>#DIV/0!</v>
      </c>
      <c r="I70" s="634" t="e">
        <f t="shared" si="21"/>
        <v>#DIV/0!</v>
      </c>
      <c r="J70" s="634" t="e">
        <f t="shared" si="21"/>
        <v>#DIV/0!</v>
      </c>
    </row>
    <row r="71" spans="1:10">
      <c r="B71" s="7"/>
      <c r="C71" s="634"/>
      <c r="D71" s="634"/>
      <c r="E71" s="634"/>
      <c r="F71" s="634"/>
      <c r="G71" s="634"/>
      <c r="H71" s="634"/>
      <c r="I71" s="634"/>
      <c r="J71" s="634"/>
    </row>
    <row r="72" spans="1:10">
      <c r="A72" s="620">
        <f>A70+1</f>
        <v>49</v>
      </c>
      <c r="B72" s="346" t="s">
        <v>556</v>
      </c>
      <c r="C72" s="635"/>
      <c r="D72" s="635"/>
      <c r="E72" s="635"/>
      <c r="F72" s="635"/>
      <c r="G72" s="635"/>
      <c r="H72" s="635"/>
      <c r="I72" s="635"/>
      <c r="J72" s="635"/>
    </row>
    <row r="73" spans="1:10">
      <c r="B73" s="7"/>
      <c r="C73" s="634"/>
      <c r="D73" s="634"/>
      <c r="E73" s="634"/>
      <c r="F73" s="634"/>
      <c r="G73" s="634"/>
      <c r="H73" s="634"/>
      <c r="I73" s="634"/>
      <c r="J73" s="634"/>
    </row>
    <row r="74" spans="1:10">
      <c r="A74" s="620">
        <f>A72+1</f>
        <v>50</v>
      </c>
      <c r="B74" s="346" t="s">
        <v>556</v>
      </c>
      <c r="C74" s="634"/>
      <c r="D74" s="634"/>
      <c r="E74" s="634"/>
      <c r="F74" s="634"/>
      <c r="G74" s="634"/>
      <c r="H74" s="634"/>
      <c r="I74" s="634"/>
      <c r="J74" s="634"/>
    </row>
    <row r="75" spans="1:10">
      <c r="A75" s="620">
        <f>A74+1</f>
        <v>51</v>
      </c>
      <c r="B75" s="346" t="s">
        <v>556</v>
      </c>
      <c r="C75" s="634"/>
      <c r="D75" s="634"/>
      <c r="E75" s="634"/>
      <c r="F75" s="634"/>
      <c r="G75" s="634"/>
      <c r="H75" s="634"/>
      <c r="I75" s="634"/>
      <c r="J75" s="634"/>
    </row>
    <row r="76" spans="1:10">
      <c r="A76" s="620">
        <f>A75+1</f>
        <v>52</v>
      </c>
      <c r="B76" s="346" t="s">
        <v>556</v>
      </c>
      <c r="C76" s="634"/>
      <c r="D76" s="634"/>
      <c r="E76" s="634"/>
      <c r="F76" s="634"/>
      <c r="G76" s="634"/>
      <c r="H76" s="634"/>
      <c r="I76" s="634"/>
      <c r="J76" s="634"/>
    </row>
    <row r="77" spans="1:10">
      <c r="B77" s="7"/>
      <c r="C77" s="633"/>
      <c r="D77" s="633"/>
      <c r="E77" s="633"/>
      <c r="F77" s="633"/>
      <c r="G77" s="633"/>
      <c r="H77" s="633"/>
      <c r="I77" s="633"/>
      <c r="J77" s="633"/>
    </row>
    <row r="78" spans="1:10" ht="15">
      <c r="A78" s="603" t="s">
        <v>527</v>
      </c>
    </row>
    <row r="79" spans="1:10">
      <c r="A79" s="620">
        <f>A76+1</f>
        <v>53</v>
      </c>
      <c r="B79" s="7" t="str">
        <f>"LTD Capital Cost Rate (Ln "&amp;A25&amp;" / Ln "&amp;A14&amp;")"</f>
        <v>LTD Capital Cost Rate (Ln 14 / Ln 6)</v>
      </c>
      <c r="C79" s="633" t="e">
        <f t="shared" ref="C79:J79" si="22">C25/C14</f>
        <v>#DIV/0!</v>
      </c>
      <c r="D79" s="633"/>
      <c r="E79" s="633" t="e">
        <f t="shared" si="22"/>
        <v>#DIV/0!</v>
      </c>
      <c r="F79" s="633" t="e">
        <f t="shared" si="22"/>
        <v>#DIV/0!</v>
      </c>
      <c r="G79" s="633" t="e">
        <f t="shared" si="22"/>
        <v>#DIV/0!</v>
      </c>
      <c r="H79" s="633" t="e">
        <f t="shared" si="22"/>
        <v>#DIV/0!</v>
      </c>
      <c r="I79" s="633" t="e">
        <f t="shared" si="22"/>
        <v>#DIV/0!</v>
      </c>
      <c r="J79" s="633" t="e">
        <f t="shared" si="22"/>
        <v>#DIV/0!</v>
      </c>
    </row>
    <row r="80" spans="1:10">
      <c r="A80" s="620">
        <f>A79+1</f>
        <v>54</v>
      </c>
      <c r="B80" s="7" t="str">
        <f>"Preferred Stock Capital Cost Rate (Ln "&amp;A53&amp;" / Ln "&amp;A52&amp;")"</f>
        <v>Preferred Stock Capital Cost Rate (Ln 36 / Ln 35)</v>
      </c>
      <c r="C80" s="633">
        <f t="shared" ref="C80:J80" si="23">IF(C52=0,0,C53/C52)</f>
        <v>0</v>
      </c>
      <c r="D80" s="633"/>
      <c r="E80" s="633">
        <f t="shared" si="23"/>
        <v>0</v>
      </c>
      <c r="F80" s="633">
        <f t="shared" si="23"/>
        <v>0</v>
      </c>
      <c r="G80" s="633">
        <f t="shared" si="23"/>
        <v>0</v>
      </c>
      <c r="H80" s="633">
        <f t="shared" si="23"/>
        <v>0</v>
      </c>
      <c r="I80" s="633">
        <f t="shared" si="23"/>
        <v>0</v>
      </c>
      <c r="J80" s="633">
        <f t="shared" si="23"/>
        <v>0</v>
      </c>
    </row>
    <row r="81" spans="1:10">
      <c r="A81" s="620">
        <f>A80+1</f>
        <v>55</v>
      </c>
      <c r="B81" s="7" t="s">
        <v>528</v>
      </c>
      <c r="C81" s="633">
        <v>0.1149</v>
      </c>
      <c r="D81" s="633"/>
      <c r="E81" s="633">
        <v>0.1149</v>
      </c>
      <c r="F81" s="633">
        <v>0.1149</v>
      </c>
      <c r="G81" s="633">
        <v>0.1149</v>
      </c>
      <c r="H81" s="633">
        <v>0.1149</v>
      </c>
      <c r="I81" s="633">
        <v>0.1149</v>
      </c>
      <c r="J81" s="633">
        <v>0.1149</v>
      </c>
    </row>
    <row r="83" spans="1:10" ht="15">
      <c r="A83" s="603" t="s">
        <v>529</v>
      </c>
    </row>
    <row r="84" spans="1:10">
      <c r="A84" s="620">
        <f>A81+1</f>
        <v>56</v>
      </c>
      <c r="B84" s="7" t="str">
        <f>"LTD Weighted Capital Cost Rate (Ln "&amp;A68&amp;" * Ln "&amp;A79&amp;")"</f>
        <v>LTD Weighted Capital Cost Rate (Ln 46 * Ln 53)</v>
      </c>
      <c r="C84" s="633" t="e">
        <f>C68*C79</f>
        <v>#DIV/0!</v>
      </c>
      <c r="D84" s="633"/>
      <c r="E84" s="633" t="e">
        <f t="shared" ref="E84:J84" si="24">E68*E79</f>
        <v>#DIV/0!</v>
      </c>
      <c r="F84" s="633" t="e">
        <f t="shared" si="24"/>
        <v>#DIV/0!</v>
      </c>
      <c r="G84" s="633" t="e">
        <f t="shared" si="24"/>
        <v>#DIV/0!</v>
      </c>
      <c r="H84" s="633" t="e">
        <f t="shared" si="24"/>
        <v>#DIV/0!</v>
      </c>
      <c r="I84" s="633" t="e">
        <f t="shared" si="24"/>
        <v>#DIV/0!</v>
      </c>
      <c r="J84" s="633" t="e">
        <f t="shared" si="24"/>
        <v>#DIV/0!</v>
      </c>
    </row>
    <row r="85" spans="1:10">
      <c r="A85" s="620">
        <f>A84+1</f>
        <v>57</v>
      </c>
      <c r="B85" s="7" t="str">
        <f>"Preferred Stock Capital Cost Rate (Ln "&amp;A69&amp;" * Ln "&amp;A80&amp;")"</f>
        <v>Preferred Stock Capital Cost Rate (Ln 47 * Ln 54)</v>
      </c>
      <c r="C85" s="633" t="e">
        <f>C69*C80</f>
        <v>#DIV/0!</v>
      </c>
      <c r="D85" s="633"/>
      <c r="E85" s="633" t="e">
        <f t="shared" ref="E85:J85" si="25">E69*E80</f>
        <v>#DIV/0!</v>
      </c>
      <c r="F85" s="633" t="e">
        <f t="shared" si="25"/>
        <v>#DIV/0!</v>
      </c>
      <c r="G85" s="633" t="e">
        <f t="shared" si="25"/>
        <v>#DIV/0!</v>
      </c>
      <c r="H85" s="633" t="e">
        <f t="shared" si="25"/>
        <v>#DIV/0!</v>
      </c>
      <c r="I85" s="633" t="e">
        <f t="shared" si="25"/>
        <v>#DIV/0!</v>
      </c>
      <c r="J85" s="633" t="e">
        <f t="shared" si="25"/>
        <v>#DIV/0!</v>
      </c>
    </row>
    <row r="86" spans="1:10">
      <c r="A86" s="620">
        <f>A85+1</f>
        <v>58</v>
      </c>
      <c r="B86" s="7" t="str">
        <f>"Common Equity Capital Cost Rate (Ln "&amp;A70&amp;" * Ln "&amp;A81&amp;")"</f>
        <v>Common Equity Capital Cost Rate (Ln 48 * Ln 55)</v>
      </c>
      <c r="C86" s="636" t="e">
        <f>C70*C81</f>
        <v>#DIV/0!</v>
      </c>
      <c r="D86" s="636"/>
      <c r="E86" s="636" t="e">
        <f t="shared" ref="E86:J86" si="26">E70*E81</f>
        <v>#DIV/0!</v>
      </c>
      <c r="F86" s="636" t="e">
        <f t="shared" si="26"/>
        <v>#DIV/0!</v>
      </c>
      <c r="G86" s="636" t="e">
        <f t="shared" si="26"/>
        <v>#DIV/0!</v>
      </c>
      <c r="H86" s="636" t="e">
        <f t="shared" si="26"/>
        <v>#DIV/0!</v>
      </c>
      <c r="I86" s="636" t="e">
        <f t="shared" si="26"/>
        <v>#DIV/0!</v>
      </c>
      <c r="J86" s="636" t="e">
        <f t="shared" si="26"/>
        <v>#DIV/0!</v>
      </c>
    </row>
    <row r="87" spans="1:10">
      <c r="A87" s="620">
        <f>A86+1</f>
        <v>59</v>
      </c>
      <c r="B87" s="626" t="s">
        <v>526</v>
      </c>
      <c r="C87" s="637" t="e">
        <f t="shared" ref="C87:J87" si="27">SUM(C84:C86)</f>
        <v>#DIV/0!</v>
      </c>
      <c r="D87" s="637"/>
      <c r="E87" s="637" t="e">
        <f t="shared" si="27"/>
        <v>#DIV/0!</v>
      </c>
      <c r="F87" s="637" t="e">
        <f t="shared" si="27"/>
        <v>#DIV/0!</v>
      </c>
      <c r="G87" s="637" t="e">
        <f t="shared" si="27"/>
        <v>#DIV/0!</v>
      </c>
      <c r="H87" s="637" t="e">
        <f t="shared" si="27"/>
        <v>#DIV/0!</v>
      </c>
      <c r="I87" s="637" t="e">
        <f t="shared" si="27"/>
        <v>#DIV/0!</v>
      </c>
      <c r="J87" s="637" t="e">
        <f t="shared" si="27"/>
        <v>#DIV/0!</v>
      </c>
    </row>
    <row r="90" spans="1:10">
      <c r="A90" s="1231" t="s">
        <v>505</v>
      </c>
      <c r="B90" s="1231"/>
      <c r="C90" s="1231"/>
      <c r="D90" s="1231"/>
      <c r="E90" s="1231"/>
      <c r="F90" s="1231"/>
      <c r="G90" s="1231"/>
      <c r="H90" s="1231"/>
      <c r="I90" s="1231"/>
      <c r="J90" s="1231"/>
    </row>
    <row r="91" spans="1:10">
      <c r="A91" s="1231" t="str">
        <f>"Consolidation of Operating Companies' Capital Structure @ December 31, "&amp;TCOS!L4-1&amp;""</f>
        <v>Consolidation of Operating Companies' Capital Structure @ December 31, 2025</v>
      </c>
      <c r="B91" s="1231"/>
      <c r="C91" s="1231"/>
      <c r="D91" s="1231"/>
      <c r="E91" s="1231"/>
      <c r="F91" s="1231"/>
      <c r="G91" s="1231"/>
      <c r="H91" s="1231"/>
      <c r="I91" s="1231"/>
      <c r="J91" s="1231"/>
    </row>
    <row r="92" spans="1:10">
      <c r="A92" s="1231" t="s">
        <v>249</v>
      </c>
      <c r="B92" s="1231"/>
      <c r="C92" s="1231"/>
      <c r="D92" s="1231"/>
      <c r="E92" s="1231"/>
      <c r="F92" s="1231"/>
      <c r="G92" s="1231"/>
      <c r="H92" s="1231"/>
      <c r="I92" s="1231"/>
      <c r="J92" s="1231"/>
    </row>
    <row r="93" spans="1:10">
      <c r="B93" s="631"/>
    </row>
    <row r="94" spans="1:10" ht="76.5">
      <c r="A94" s="620" t="s">
        <v>459</v>
      </c>
      <c r="C94" s="621" t="s">
        <v>506</v>
      </c>
      <c r="D94" s="621"/>
      <c r="E94" s="621" t="s">
        <v>507</v>
      </c>
      <c r="F94" s="621" t="s">
        <v>508</v>
      </c>
      <c r="G94" s="621" t="s">
        <v>509</v>
      </c>
      <c r="H94" s="621" t="s">
        <v>510</v>
      </c>
      <c r="I94" s="621" t="s">
        <v>511</v>
      </c>
      <c r="J94" s="621" t="s">
        <v>512</v>
      </c>
    </row>
    <row r="95" spans="1:10" ht="15">
      <c r="A95" s="603" t="s">
        <v>513</v>
      </c>
    </row>
    <row r="96" spans="1:10">
      <c r="A96" s="620">
        <f>A87+1</f>
        <v>60</v>
      </c>
      <c r="B96" s="75" t="s">
        <v>338</v>
      </c>
      <c r="C96" s="604"/>
      <c r="D96" s="604"/>
      <c r="E96" s="604"/>
      <c r="F96" s="604"/>
      <c r="G96" s="604"/>
      <c r="H96" s="604"/>
      <c r="I96" s="604"/>
      <c r="J96" s="591">
        <f>SUM(C96:I96)</f>
        <v>0</v>
      </c>
    </row>
    <row r="97" spans="1:10">
      <c r="A97" s="620">
        <f>A96+1</f>
        <v>61</v>
      </c>
      <c r="B97" s="75" t="s">
        <v>339</v>
      </c>
      <c r="C97" s="604"/>
      <c r="D97" s="604"/>
      <c r="E97" s="604"/>
      <c r="F97" s="604"/>
      <c r="G97" s="604"/>
      <c r="H97" s="604"/>
      <c r="I97" s="604"/>
      <c r="J97" s="591">
        <f>SUM(C97:I97)</f>
        <v>0</v>
      </c>
    </row>
    <row r="98" spans="1:10">
      <c r="A98" s="620">
        <f>A97+1</f>
        <v>62</v>
      </c>
      <c r="B98" s="14" t="s">
        <v>23</v>
      </c>
      <c r="C98" s="604"/>
      <c r="D98" s="604"/>
      <c r="E98" s="604"/>
      <c r="F98" s="604"/>
      <c r="G98" s="604"/>
      <c r="H98" s="604"/>
      <c r="I98" s="604"/>
      <c r="J98" s="591">
        <f>SUM(C98:I98)</f>
        <v>0</v>
      </c>
    </row>
    <row r="99" spans="1:10">
      <c r="A99" s="620">
        <f>A98+1</f>
        <v>63</v>
      </c>
      <c r="B99" s="14" t="s">
        <v>17</v>
      </c>
      <c r="C99" s="604"/>
      <c r="D99" s="604"/>
      <c r="E99" s="604"/>
      <c r="F99" s="604"/>
      <c r="G99" s="604"/>
      <c r="H99" s="604"/>
      <c r="I99" s="604"/>
      <c r="J99" s="591">
        <f>SUM(C99:I99)</f>
        <v>0</v>
      </c>
    </row>
    <row r="100" spans="1:10">
      <c r="A100" s="620">
        <f>A99+1</f>
        <v>64</v>
      </c>
      <c r="B100" s="14" t="str">
        <f>"Less: Fair Value Hedges (See Note on Ln "&amp;A103&amp;" below)"</f>
        <v>Less: Fair Value Hedges (See Note on Ln 66 below)</v>
      </c>
      <c r="C100" s="119"/>
      <c r="D100" s="119"/>
      <c r="E100" s="119"/>
      <c r="F100" s="119"/>
      <c r="G100" s="119"/>
      <c r="H100" s="119"/>
      <c r="I100" s="119"/>
      <c r="J100" s="622">
        <f>SUM(C100:I100)</f>
        <v>0</v>
      </c>
    </row>
    <row r="101" spans="1:10">
      <c r="A101" s="620">
        <f>A100+1</f>
        <v>65</v>
      </c>
      <c r="B101" s="13" t="s">
        <v>59</v>
      </c>
      <c r="C101" s="623">
        <f t="shared" ref="C101:J101" si="28">C96-C97+C98+C99-C100</f>
        <v>0</v>
      </c>
      <c r="D101" s="623"/>
      <c r="E101" s="623">
        <f t="shared" si="28"/>
        <v>0</v>
      </c>
      <c r="F101" s="623">
        <f t="shared" si="28"/>
        <v>0</v>
      </c>
      <c r="G101" s="623">
        <f t="shared" si="28"/>
        <v>0</v>
      </c>
      <c r="H101" s="623">
        <f t="shared" si="28"/>
        <v>0</v>
      </c>
      <c r="I101" s="623">
        <f t="shared" si="28"/>
        <v>0</v>
      </c>
      <c r="J101" s="623">
        <f t="shared" si="28"/>
        <v>0</v>
      </c>
    </row>
    <row r="103" spans="1:10">
      <c r="A103" s="620">
        <f>A101+1</f>
        <v>66</v>
      </c>
      <c r="B103" s="1232" t="s">
        <v>58</v>
      </c>
      <c r="C103" s="1232"/>
      <c r="D103" s="1232"/>
      <c r="E103" s="1232"/>
      <c r="F103" s="1232"/>
      <c r="G103" s="1232"/>
      <c r="H103" s="1232"/>
      <c r="I103" s="1232"/>
      <c r="J103" s="1232"/>
    </row>
    <row r="104" spans="1:10">
      <c r="B104" s="624"/>
      <c r="C104" s="624"/>
      <c r="D104" s="624"/>
      <c r="E104" s="624"/>
      <c r="F104" s="624"/>
      <c r="G104" s="624"/>
      <c r="H104" s="624"/>
      <c r="I104" s="624"/>
      <c r="J104" s="624"/>
    </row>
    <row r="105" spans="1:10" ht="15">
      <c r="A105" s="603" t="s">
        <v>514</v>
      </c>
    </row>
    <row r="106" spans="1:10">
      <c r="A106" s="620">
        <f>A103+1</f>
        <v>67</v>
      </c>
      <c r="B106" s="75" t="s">
        <v>340</v>
      </c>
      <c r="C106" s="118"/>
      <c r="D106" s="118"/>
      <c r="E106" s="118"/>
      <c r="F106" s="118"/>
      <c r="G106" s="118"/>
      <c r="H106" s="118"/>
      <c r="I106" s="118"/>
      <c r="J106" s="344">
        <f t="shared" ref="J106:J111" si="29">SUM(C106:I106)</f>
        <v>0</v>
      </c>
    </row>
    <row r="107" spans="1:10">
      <c r="A107" s="620">
        <f t="shared" ref="A107:A112" si="30">A106+1</f>
        <v>68</v>
      </c>
      <c r="B107" s="75" t="s">
        <v>333</v>
      </c>
      <c r="C107" s="118"/>
      <c r="D107" s="118"/>
      <c r="E107" s="118"/>
      <c r="F107" s="118"/>
      <c r="G107" s="118"/>
      <c r="H107" s="118"/>
      <c r="I107" s="118"/>
      <c r="J107" s="344">
        <f t="shared" si="29"/>
        <v>0</v>
      </c>
    </row>
    <row r="108" spans="1:10">
      <c r="A108" s="620">
        <f t="shared" si="30"/>
        <v>69</v>
      </c>
      <c r="B108" s="75" t="s">
        <v>334</v>
      </c>
      <c r="C108" s="118"/>
      <c r="D108" s="118"/>
      <c r="E108" s="118"/>
      <c r="F108" s="118"/>
      <c r="G108" s="118"/>
      <c r="H108" s="118"/>
      <c r="I108" s="118"/>
      <c r="J108" s="344">
        <f t="shared" si="29"/>
        <v>0</v>
      </c>
    </row>
    <row r="109" spans="1:10">
      <c r="A109" s="620">
        <f t="shared" si="30"/>
        <v>70</v>
      </c>
      <c r="B109" s="75" t="s">
        <v>335</v>
      </c>
      <c r="C109" s="604"/>
      <c r="D109" s="604"/>
      <c r="E109" s="604"/>
      <c r="F109" s="604"/>
      <c r="G109" s="604"/>
      <c r="H109" s="604"/>
      <c r="I109" s="604"/>
      <c r="J109" s="591">
        <f t="shared" si="29"/>
        <v>0</v>
      </c>
    </row>
    <row r="110" spans="1:10">
      <c r="A110" s="620">
        <f t="shared" si="30"/>
        <v>71</v>
      </c>
      <c r="B110" s="75" t="s">
        <v>336</v>
      </c>
      <c r="C110" s="604"/>
      <c r="D110" s="604"/>
      <c r="E110" s="604"/>
      <c r="F110" s="604"/>
      <c r="G110" s="604"/>
      <c r="H110" s="604"/>
      <c r="I110" s="604"/>
      <c r="J110" s="591">
        <f t="shared" si="29"/>
        <v>0</v>
      </c>
    </row>
    <row r="111" spans="1:10">
      <c r="A111" s="620">
        <f t="shared" si="30"/>
        <v>72</v>
      </c>
      <c r="B111" s="625" t="s">
        <v>515</v>
      </c>
      <c r="C111" s="119"/>
      <c r="D111" s="119"/>
      <c r="E111" s="119"/>
      <c r="F111" s="119"/>
      <c r="G111" s="119"/>
      <c r="H111" s="119"/>
      <c r="I111" s="119"/>
      <c r="J111" s="622">
        <f t="shared" si="29"/>
        <v>0</v>
      </c>
    </row>
    <row r="112" spans="1:10">
      <c r="A112" s="620">
        <f t="shared" si="30"/>
        <v>73</v>
      </c>
      <c r="B112" s="626" t="s">
        <v>60</v>
      </c>
      <c r="C112" s="627">
        <f t="shared" ref="C112:J112" si="31">C106+C107+C108-C109-C110-C111</f>
        <v>0</v>
      </c>
      <c r="D112" s="627"/>
      <c r="E112" s="627">
        <f t="shared" si="31"/>
        <v>0</v>
      </c>
      <c r="F112" s="627">
        <f t="shared" si="31"/>
        <v>0</v>
      </c>
      <c r="G112" s="627">
        <f t="shared" si="31"/>
        <v>0</v>
      </c>
      <c r="H112" s="627">
        <f t="shared" si="31"/>
        <v>0</v>
      </c>
      <c r="I112" s="627">
        <f t="shared" si="31"/>
        <v>0</v>
      </c>
      <c r="J112" s="627">
        <f t="shared" si="31"/>
        <v>0</v>
      </c>
    </row>
    <row r="114" spans="1:10" ht="15">
      <c r="A114" s="603" t="s">
        <v>516</v>
      </c>
      <c r="B114" s="628"/>
      <c r="C114" s="628"/>
      <c r="D114" s="628"/>
      <c r="E114" s="628"/>
    </row>
    <row r="115" spans="1:10">
      <c r="A115" s="620">
        <f>A112+1</f>
        <v>74</v>
      </c>
      <c r="B115" s="76" t="s">
        <v>517</v>
      </c>
      <c r="C115" s="605"/>
      <c r="D115" s="644"/>
      <c r="E115" s="645"/>
      <c r="F115" s="644"/>
      <c r="G115" s="644"/>
      <c r="H115" s="605"/>
      <c r="I115" s="644"/>
      <c r="J115" s="629"/>
    </row>
    <row r="116" spans="1:10">
      <c r="A116" s="620">
        <f>A115+1</f>
        <v>75</v>
      </c>
      <c r="B116" s="76" t="s">
        <v>518</v>
      </c>
      <c r="C116" s="606"/>
      <c r="D116" s="646"/>
      <c r="E116" s="606"/>
      <c r="F116" s="646"/>
      <c r="G116" s="646"/>
      <c r="H116" s="606"/>
      <c r="I116" s="646"/>
      <c r="J116" s="630"/>
    </row>
    <row r="117" spans="1:10">
      <c r="A117" s="620">
        <f>A116+1</f>
        <v>76</v>
      </c>
      <c r="B117" s="76" t="s">
        <v>519</v>
      </c>
      <c r="C117" s="118"/>
      <c r="D117" s="647"/>
      <c r="E117" s="118"/>
      <c r="F117" s="647"/>
      <c r="G117" s="647"/>
      <c r="H117" s="118"/>
      <c r="I117" s="647"/>
    </row>
    <row r="118" spans="1:10">
      <c r="A118" s="620">
        <f>A117+1</f>
        <v>77</v>
      </c>
      <c r="B118" s="76" t="str">
        <f>"Monetary Value (Ln "&amp;A116&amp;" * Ln "&amp;A117&amp;")"</f>
        <v>Monetary Value (Ln 75 * Ln 76)</v>
      </c>
      <c r="C118" s="343">
        <f t="shared" ref="C118:I118" si="32">C116*C117</f>
        <v>0</v>
      </c>
      <c r="D118" s="343"/>
      <c r="E118" s="343">
        <f t="shared" si="32"/>
        <v>0</v>
      </c>
      <c r="F118" s="343">
        <f t="shared" si="32"/>
        <v>0</v>
      </c>
      <c r="G118" s="343">
        <f t="shared" si="32"/>
        <v>0</v>
      </c>
      <c r="H118" s="343">
        <f t="shared" si="32"/>
        <v>0</v>
      </c>
      <c r="I118" s="343">
        <f t="shared" si="32"/>
        <v>0</v>
      </c>
      <c r="J118" s="627">
        <f>SUM(C118:I118)</f>
        <v>0</v>
      </c>
    </row>
    <row r="119" spans="1:10">
      <c r="A119" s="620">
        <f>A118+1</f>
        <v>78</v>
      </c>
      <c r="B119" s="76" t="str">
        <f>"Dividend Amount (Ln "&amp;A115&amp;" * Ln "&amp;A118&amp;")"</f>
        <v>Dividend Amount (Ln 74 * Ln 77)</v>
      </c>
      <c r="C119" s="343">
        <f t="shared" ref="C119:I119" si="33">C118*C115</f>
        <v>0</v>
      </c>
      <c r="D119" s="343"/>
      <c r="E119" s="343">
        <f t="shared" si="33"/>
        <v>0</v>
      </c>
      <c r="F119" s="343">
        <f t="shared" si="33"/>
        <v>0</v>
      </c>
      <c r="G119" s="343">
        <f t="shared" si="33"/>
        <v>0</v>
      </c>
      <c r="H119" s="343">
        <f t="shared" si="33"/>
        <v>0</v>
      </c>
      <c r="I119" s="343">
        <f t="shared" si="33"/>
        <v>0</v>
      </c>
      <c r="J119" s="627">
        <f>SUM(C119:I119)</f>
        <v>0</v>
      </c>
    </row>
    <row r="121" spans="1:10">
      <c r="A121" s="620">
        <f>A119+1</f>
        <v>79</v>
      </c>
      <c r="B121" s="76" t="s">
        <v>517</v>
      </c>
      <c r="C121" s="605"/>
      <c r="D121" s="644"/>
      <c r="E121" s="645"/>
      <c r="F121" s="644"/>
      <c r="G121" s="644"/>
      <c r="H121" s="605"/>
      <c r="I121" s="644"/>
    </row>
    <row r="122" spans="1:10">
      <c r="A122" s="620">
        <f>A121+1</f>
        <v>80</v>
      </c>
      <c r="B122" s="76" t="s">
        <v>518</v>
      </c>
      <c r="C122" s="606"/>
      <c r="D122" s="646"/>
      <c r="E122" s="606"/>
      <c r="F122" s="646"/>
      <c r="G122" s="646"/>
      <c r="H122" s="606"/>
      <c r="I122" s="646"/>
    </row>
    <row r="123" spans="1:10">
      <c r="A123" s="620">
        <f>A122+1</f>
        <v>81</v>
      </c>
      <c r="B123" s="76" t="s">
        <v>519</v>
      </c>
      <c r="C123" s="118"/>
      <c r="D123" s="647"/>
      <c r="E123" s="118"/>
      <c r="F123" s="647"/>
      <c r="G123" s="647"/>
      <c r="H123" s="118"/>
      <c r="I123" s="647"/>
    </row>
    <row r="124" spans="1:10">
      <c r="A124" s="620">
        <f>A123+1</f>
        <v>82</v>
      </c>
      <c r="B124" s="76" t="str">
        <f>"Monetary Value (Ln "&amp;A122&amp;" * Ln "&amp;A123&amp;")"</f>
        <v>Monetary Value (Ln 80 * Ln 81)</v>
      </c>
      <c r="C124" s="343">
        <f t="shared" ref="C124:I124" si="34">C122*C123</f>
        <v>0</v>
      </c>
      <c r="D124" s="343"/>
      <c r="E124" s="343">
        <f t="shared" si="34"/>
        <v>0</v>
      </c>
      <c r="F124" s="343">
        <f t="shared" si="34"/>
        <v>0</v>
      </c>
      <c r="G124" s="343">
        <f t="shared" si="34"/>
        <v>0</v>
      </c>
      <c r="H124" s="343">
        <f t="shared" si="34"/>
        <v>0</v>
      </c>
      <c r="I124" s="343">
        <f t="shared" si="34"/>
        <v>0</v>
      </c>
      <c r="J124" s="627">
        <f>SUM(C124:I124)</f>
        <v>0</v>
      </c>
    </row>
    <row r="125" spans="1:10">
      <c r="A125" s="620">
        <f>A124+1</f>
        <v>83</v>
      </c>
      <c r="B125" s="76" t="str">
        <f>"Dividend Amount (Ln "&amp;A121&amp;" * Ln "&amp;A124&amp;")"</f>
        <v>Dividend Amount (Ln 79 * Ln 82)</v>
      </c>
      <c r="C125" s="343">
        <f t="shared" ref="C125:I125" si="35">C124*C121</f>
        <v>0</v>
      </c>
      <c r="D125" s="343"/>
      <c r="E125" s="343">
        <f t="shared" si="35"/>
        <v>0</v>
      </c>
      <c r="F125" s="343">
        <f t="shared" si="35"/>
        <v>0</v>
      </c>
      <c r="G125" s="343">
        <f t="shared" si="35"/>
        <v>0</v>
      </c>
      <c r="H125" s="343">
        <f t="shared" si="35"/>
        <v>0</v>
      </c>
      <c r="I125" s="343">
        <f t="shared" si="35"/>
        <v>0</v>
      </c>
      <c r="J125" s="627">
        <f>SUM(C125:I125)</f>
        <v>0</v>
      </c>
    </row>
    <row r="127" spans="1:10">
      <c r="A127" s="620">
        <f>A125+1</f>
        <v>84</v>
      </c>
      <c r="B127" s="76" t="s">
        <v>517</v>
      </c>
      <c r="C127" s="605"/>
      <c r="D127" s="644"/>
      <c r="E127" s="645"/>
      <c r="F127" s="644"/>
      <c r="G127" s="644"/>
      <c r="H127" s="605"/>
      <c r="I127" s="644"/>
    </row>
    <row r="128" spans="1:10">
      <c r="A128" s="620">
        <f>A127+1</f>
        <v>85</v>
      </c>
      <c r="B128" s="76" t="s">
        <v>518</v>
      </c>
      <c r="C128" s="606"/>
      <c r="D128" s="646"/>
      <c r="E128" s="606"/>
      <c r="F128" s="646"/>
      <c r="G128" s="646"/>
      <c r="H128" s="606"/>
      <c r="I128" s="646"/>
    </row>
    <row r="129" spans="1:10">
      <c r="A129" s="620">
        <f>A128+1</f>
        <v>86</v>
      </c>
      <c r="B129" s="76" t="s">
        <v>519</v>
      </c>
      <c r="C129" s="118"/>
      <c r="D129" s="647"/>
      <c r="E129" s="118"/>
      <c r="F129" s="647"/>
      <c r="G129" s="647"/>
      <c r="H129" s="118"/>
      <c r="I129" s="647"/>
    </row>
    <row r="130" spans="1:10">
      <c r="A130" s="620">
        <f>A129+1</f>
        <v>87</v>
      </c>
      <c r="B130" s="76" t="str">
        <f>"Monetary Value (Ln "&amp;A128&amp;" * Ln "&amp;A129&amp;")"</f>
        <v>Monetary Value (Ln 85 * Ln 86)</v>
      </c>
      <c r="C130" s="343">
        <f t="shared" ref="C130:I130" si="36">C128*C129</f>
        <v>0</v>
      </c>
      <c r="D130" s="343"/>
      <c r="E130" s="343">
        <f t="shared" si="36"/>
        <v>0</v>
      </c>
      <c r="F130" s="343">
        <f t="shared" si="36"/>
        <v>0</v>
      </c>
      <c r="G130" s="343">
        <f t="shared" si="36"/>
        <v>0</v>
      </c>
      <c r="H130" s="343">
        <f t="shared" si="36"/>
        <v>0</v>
      </c>
      <c r="I130" s="343">
        <f t="shared" si="36"/>
        <v>0</v>
      </c>
      <c r="J130" s="627">
        <f>SUM(C130:I130)</f>
        <v>0</v>
      </c>
    </row>
    <row r="131" spans="1:10">
      <c r="A131" s="620">
        <f>A130+1</f>
        <v>88</v>
      </c>
      <c r="B131" s="76" t="str">
        <f>"Dividend Amount (Ln "&amp;A127&amp;" * Ln "&amp;A130&amp;")"</f>
        <v>Dividend Amount (Ln 84 * Ln 87)</v>
      </c>
      <c r="C131" s="343">
        <f t="shared" ref="C131:I131" si="37">C130*C127</f>
        <v>0</v>
      </c>
      <c r="D131" s="343"/>
      <c r="E131" s="343">
        <f t="shared" si="37"/>
        <v>0</v>
      </c>
      <c r="F131" s="343">
        <f t="shared" si="37"/>
        <v>0</v>
      </c>
      <c r="G131" s="343">
        <f t="shared" si="37"/>
        <v>0</v>
      </c>
      <c r="H131" s="343">
        <f t="shared" si="37"/>
        <v>0</v>
      </c>
      <c r="I131" s="343">
        <f t="shared" si="37"/>
        <v>0</v>
      </c>
      <c r="J131" s="627">
        <f>SUM(C131:I131)</f>
        <v>0</v>
      </c>
    </row>
    <row r="133" spans="1:10">
      <c r="A133" s="620">
        <f>A131+1</f>
        <v>89</v>
      </c>
      <c r="B133" s="76" t="s">
        <v>517</v>
      </c>
      <c r="C133" s="605"/>
      <c r="D133" s="644"/>
      <c r="E133" s="645"/>
      <c r="F133" s="644"/>
      <c r="G133" s="644"/>
      <c r="H133" s="605"/>
      <c r="I133" s="644"/>
    </row>
    <row r="134" spans="1:10">
      <c r="A134" s="620">
        <f>A133+1</f>
        <v>90</v>
      </c>
      <c r="B134" s="76" t="s">
        <v>518</v>
      </c>
      <c r="C134" s="606"/>
      <c r="D134" s="646"/>
      <c r="E134" s="606"/>
      <c r="F134" s="646"/>
      <c r="G134" s="646"/>
      <c r="H134" s="606"/>
      <c r="I134" s="646"/>
    </row>
    <row r="135" spans="1:10">
      <c r="A135" s="620">
        <f>A134+1</f>
        <v>91</v>
      </c>
      <c r="B135" s="76" t="s">
        <v>519</v>
      </c>
      <c r="C135" s="118"/>
      <c r="D135" s="647"/>
      <c r="E135" s="118"/>
      <c r="F135" s="647"/>
      <c r="G135" s="647"/>
      <c r="H135" s="118"/>
      <c r="I135" s="647"/>
    </row>
    <row r="136" spans="1:10">
      <c r="A136" s="620">
        <f>A135+1</f>
        <v>92</v>
      </c>
      <c r="B136" s="76" t="str">
        <f>"Monetary Value (Ln "&amp;A134&amp;" * Ln "&amp;A135&amp;")"</f>
        <v>Monetary Value (Ln 90 * Ln 91)</v>
      </c>
      <c r="C136" s="343">
        <f t="shared" ref="C136:I136" si="38">C134*C135</f>
        <v>0</v>
      </c>
      <c r="D136" s="343"/>
      <c r="E136" s="343">
        <f t="shared" si="38"/>
        <v>0</v>
      </c>
      <c r="F136" s="343">
        <f t="shared" si="38"/>
        <v>0</v>
      </c>
      <c r="G136" s="343">
        <f t="shared" si="38"/>
        <v>0</v>
      </c>
      <c r="H136" s="343">
        <f t="shared" si="38"/>
        <v>0</v>
      </c>
      <c r="I136" s="343">
        <f t="shared" si="38"/>
        <v>0</v>
      </c>
      <c r="J136" s="627">
        <f>SUM(C136:I136)</f>
        <v>0</v>
      </c>
    </row>
    <row r="137" spans="1:10">
      <c r="A137" s="620">
        <f>A136+1</f>
        <v>93</v>
      </c>
      <c r="B137" s="76" t="str">
        <f>"Dividend Amount (Ln "&amp;A133&amp;" * Ln "&amp;A136&amp;")"</f>
        <v>Dividend Amount (Ln 89 * Ln 92)</v>
      </c>
      <c r="C137" s="343">
        <f t="shared" ref="C137:I137" si="39">C136*C133</f>
        <v>0</v>
      </c>
      <c r="D137" s="343"/>
      <c r="E137" s="343">
        <f t="shared" si="39"/>
        <v>0</v>
      </c>
      <c r="F137" s="343">
        <f t="shared" si="39"/>
        <v>0</v>
      </c>
      <c r="G137" s="343">
        <f t="shared" si="39"/>
        <v>0</v>
      </c>
      <c r="H137" s="343">
        <f t="shared" si="39"/>
        <v>0</v>
      </c>
      <c r="I137" s="343">
        <f t="shared" si="39"/>
        <v>0</v>
      </c>
      <c r="J137" s="627">
        <f>SUM(C137:I137)</f>
        <v>0</v>
      </c>
    </row>
    <row r="138" spans="1:10">
      <c r="B138" s="76"/>
    </row>
    <row r="139" spans="1:10">
      <c r="A139" s="620">
        <f>A137+1</f>
        <v>94</v>
      </c>
      <c r="B139" s="346" t="str">
        <f>"Preferred Stock (Lns "&amp;A118&amp;", "&amp;A124&amp;", "&amp;A130&amp;","&amp;A136&amp;")"</f>
        <v>Preferred Stock (Lns 77, 82, 87,92)</v>
      </c>
      <c r="C139" s="627">
        <f t="shared" ref="C139:I140" si="40">C118+C124+C130+C136</f>
        <v>0</v>
      </c>
      <c r="D139" s="627"/>
      <c r="E139" s="627">
        <f t="shared" si="40"/>
        <v>0</v>
      </c>
      <c r="F139" s="627">
        <f t="shared" si="40"/>
        <v>0</v>
      </c>
      <c r="G139" s="627">
        <f t="shared" si="40"/>
        <v>0</v>
      </c>
      <c r="H139" s="627">
        <f t="shared" si="40"/>
        <v>0</v>
      </c>
      <c r="I139" s="627">
        <f t="shared" si="40"/>
        <v>0</v>
      </c>
      <c r="J139" s="627">
        <f>SUM(C139:I139)</f>
        <v>0</v>
      </c>
    </row>
    <row r="140" spans="1:10">
      <c r="A140" s="620">
        <f>A139+1</f>
        <v>95</v>
      </c>
      <c r="B140" s="346" t="str">
        <f>"Preferred Dividends (Lns "&amp;A119&amp;", "&amp;A125&amp;", "&amp;A131&amp;","&amp;A137&amp;")"</f>
        <v>Preferred Dividends (Lns 78, 83, 88,93)</v>
      </c>
      <c r="C140" s="627">
        <f t="shared" si="40"/>
        <v>0</v>
      </c>
      <c r="D140" s="627"/>
      <c r="E140" s="627">
        <f t="shared" si="40"/>
        <v>0</v>
      </c>
      <c r="F140" s="627">
        <f t="shared" si="40"/>
        <v>0</v>
      </c>
      <c r="G140" s="627">
        <f t="shared" si="40"/>
        <v>0</v>
      </c>
      <c r="H140" s="627">
        <f t="shared" si="40"/>
        <v>0</v>
      </c>
      <c r="I140" s="627">
        <f t="shared" si="40"/>
        <v>0</v>
      </c>
      <c r="J140" s="627">
        <f>SUM(C140:I140)</f>
        <v>0</v>
      </c>
    </row>
    <row r="141" spans="1:10">
      <c r="B141" s="631"/>
    </row>
    <row r="142" spans="1:10" ht="15">
      <c r="A142" s="603" t="s">
        <v>520</v>
      </c>
    </row>
    <row r="143" spans="1:10">
      <c r="A143" s="620">
        <f>A140+1</f>
        <v>96</v>
      </c>
      <c r="B143" s="453" t="s">
        <v>521</v>
      </c>
      <c r="C143" s="118"/>
      <c r="D143" s="118"/>
      <c r="E143" s="118"/>
      <c r="F143" s="118"/>
      <c r="G143" s="118"/>
      <c r="H143" s="118"/>
      <c r="I143" s="118"/>
      <c r="J143" s="627">
        <f>SUM(C143:I143)</f>
        <v>0</v>
      </c>
    </row>
    <row r="144" spans="1:10">
      <c r="A144" s="620">
        <f>A143+1</f>
        <v>97</v>
      </c>
      <c r="B144" s="453" t="str">
        <f>"Less: Preferred Stock (Ln "&amp;A139&amp;" Above)"</f>
        <v>Less: Preferred Stock (Ln 94 Above)</v>
      </c>
      <c r="C144" s="344">
        <f>C139</f>
        <v>0</v>
      </c>
      <c r="D144" s="344"/>
      <c r="E144" s="344">
        <f>E139</f>
        <v>0</v>
      </c>
      <c r="F144" s="344">
        <f>F139</f>
        <v>0</v>
      </c>
      <c r="G144" s="344">
        <f>G139</f>
        <v>0</v>
      </c>
      <c r="H144" s="344">
        <f>H139</f>
        <v>0</v>
      </c>
      <c r="I144" s="344">
        <f>I139</f>
        <v>0</v>
      </c>
      <c r="J144" s="627">
        <f>SUM(C144:I144)</f>
        <v>0</v>
      </c>
    </row>
    <row r="145" spans="1:10">
      <c r="A145" s="620">
        <f>A144+1</f>
        <v>98</v>
      </c>
      <c r="B145" s="453" t="s">
        <v>522</v>
      </c>
      <c r="C145" s="604"/>
      <c r="D145" s="604"/>
      <c r="E145" s="604"/>
      <c r="F145" s="604"/>
      <c r="G145" s="604"/>
      <c r="H145" s="604"/>
      <c r="I145" s="604"/>
      <c r="J145" s="627">
        <f>SUM(C145:I145)</f>
        <v>0</v>
      </c>
    </row>
    <row r="146" spans="1:10">
      <c r="A146" s="620">
        <f>A145+1</f>
        <v>99</v>
      </c>
      <c r="B146" s="453" t="s">
        <v>523</v>
      </c>
      <c r="C146" s="119"/>
      <c r="D146" s="119"/>
      <c r="E146" s="119"/>
      <c r="F146" s="119"/>
      <c r="G146" s="119"/>
      <c r="H146" s="119"/>
      <c r="I146" s="119"/>
      <c r="J146" s="632">
        <f>SUM(C146:I146)</f>
        <v>0</v>
      </c>
    </row>
    <row r="147" spans="1:10">
      <c r="A147" s="620">
        <f>A146+1</f>
        <v>100</v>
      </c>
      <c r="B147" s="457" t="s">
        <v>524</v>
      </c>
      <c r="C147" s="591">
        <f t="shared" ref="C147:J147" si="41">C143-C144-C145-C146</f>
        <v>0</v>
      </c>
      <c r="D147" s="591"/>
      <c r="E147" s="591">
        <f t="shared" si="41"/>
        <v>0</v>
      </c>
      <c r="F147" s="591">
        <f t="shared" si="41"/>
        <v>0</v>
      </c>
      <c r="G147" s="591">
        <f t="shared" si="41"/>
        <v>0</v>
      </c>
      <c r="H147" s="591">
        <f t="shared" si="41"/>
        <v>0</v>
      </c>
      <c r="I147" s="591">
        <f t="shared" si="41"/>
        <v>0</v>
      </c>
      <c r="J147" s="591">
        <f t="shared" si="41"/>
        <v>0</v>
      </c>
    </row>
    <row r="149" spans="1:10" ht="15">
      <c r="A149" s="603" t="s">
        <v>525</v>
      </c>
    </row>
    <row r="150" spans="1:10">
      <c r="A150" s="620">
        <f>A147+1</f>
        <v>101</v>
      </c>
      <c r="B150" s="7" t="str">
        <f>"Long Term Debt (Ln "&amp;A101&amp;" Above)"</f>
        <v>Long Term Debt (Ln 65 Above)</v>
      </c>
      <c r="C150" s="627">
        <f t="shared" ref="C150:J150" si="42">C101</f>
        <v>0</v>
      </c>
      <c r="D150" s="627"/>
      <c r="E150" s="627">
        <f t="shared" si="42"/>
        <v>0</v>
      </c>
      <c r="F150" s="627">
        <f t="shared" si="42"/>
        <v>0</v>
      </c>
      <c r="G150" s="627">
        <f t="shared" si="42"/>
        <v>0</v>
      </c>
      <c r="H150" s="627">
        <f t="shared" si="42"/>
        <v>0</v>
      </c>
      <c r="I150" s="627">
        <f t="shared" si="42"/>
        <v>0</v>
      </c>
      <c r="J150" s="627">
        <f t="shared" si="42"/>
        <v>0</v>
      </c>
    </row>
    <row r="151" spans="1:10">
      <c r="A151" s="620">
        <f>A150+1</f>
        <v>102</v>
      </c>
      <c r="B151" s="7" t="str">
        <f>"Preferred Stock (Ln "&amp;A139&amp;" Above)"</f>
        <v>Preferred Stock (Ln 94 Above)</v>
      </c>
      <c r="C151" s="627">
        <f t="shared" ref="C151:J151" si="43">C139</f>
        <v>0</v>
      </c>
      <c r="D151" s="627"/>
      <c r="E151" s="627">
        <f t="shared" si="43"/>
        <v>0</v>
      </c>
      <c r="F151" s="627">
        <f t="shared" si="43"/>
        <v>0</v>
      </c>
      <c r="G151" s="627">
        <f t="shared" si="43"/>
        <v>0</v>
      </c>
      <c r="H151" s="627">
        <f t="shared" si="43"/>
        <v>0</v>
      </c>
      <c r="I151" s="627">
        <f t="shared" si="43"/>
        <v>0</v>
      </c>
      <c r="J151" s="627">
        <f t="shared" si="43"/>
        <v>0</v>
      </c>
    </row>
    <row r="152" spans="1:10">
      <c r="A152" s="620">
        <f>A151+1</f>
        <v>103</v>
      </c>
      <c r="B152" s="7" t="str">
        <f>"Common Equity (Ln "&amp;A147&amp;" Above)"</f>
        <v>Common Equity (Ln 100 Above)</v>
      </c>
      <c r="C152" s="632">
        <f t="shared" ref="C152:J152" si="44">C147</f>
        <v>0</v>
      </c>
      <c r="D152" s="632"/>
      <c r="E152" s="632">
        <f t="shared" si="44"/>
        <v>0</v>
      </c>
      <c r="F152" s="632">
        <f t="shared" si="44"/>
        <v>0</v>
      </c>
      <c r="G152" s="632">
        <f t="shared" si="44"/>
        <v>0</v>
      </c>
      <c r="H152" s="632">
        <f t="shared" si="44"/>
        <v>0</v>
      </c>
      <c r="I152" s="632">
        <f t="shared" si="44"/>
        <v>0</v>
      </c>
      <c r="J152" s="632">
        <f t="shared" si="44"/>
        <v>0</v>
      </c>
    </row>
    <row r="153" spans="1:10">
      <c r="A153" s="620">
        <f>A152+1</f>
        <v>104</v>
      </c>
      <c r="B153" s="620" t="s">
        <v>526</v>
      </c>
      <c r="C153" s="627">
        <f t="shared" ref="C153:J153" si="45">SUM(C150:C152)</f>
        <v>0</v>
      </c>
      <c r="D153" s="627"/>
      <c r="E153" s="627">
        <f t="shared" si="45"/>
        <v>0</v>
      </c>
      <c r="F153" s="627">
        <f t="shared" si="45"/>
        <v>0</v>
      </c>
      <c r="G153" s="627">
        <f t="shared" si="45"/>
        <v>0</v>
      </c>
      <c r="H153" s="627">
        <f t="shared" si="45"/>
        <v>0</v>
      </c>
      <c r="I153" s="627">
        <f t="shared" si="45"/>
        <v>0</v>
      </c>
      <c r="J153" s="627">
        <f t="shared" si="45"/>
        <v>0</v>
      </c>
    </row>
    <row r="155" spans="1:10">
      <c r="A155" s="620">
        <f>A153+1</f>
        <v>105</v>
      </c>
      <c r="B155" s="7" t="str">
        <f>"LTD Capital Shares (Ln "&amp;A150&amp;" / Ln "&amp;A153&amp;")"</f>
        <v>LTD Capital Shares (Ln 101 / Ln 104)</v>
      </c>
      <c r="C155" s="633" t="e">
        <f t="shared" ref="C155:J155" si="46">C150/C153</f>
        <v>#DIV/0!</v>
      </c>
      <c r="D155" s="633"/>
      <c r="E155" s="633" t="e">
        <f t="shared" si="46"/>
        <v>#DIV/0!</v>
      </c>
      <c r="F155" s="633" t="e">
        <f t="shared" si="46"/>
        <v>#DIV/0!</v>
      </c>
      <c r="G155" s="633" t="e">
        <f t="shared" si="46"/>
        <v>#DIV/0!</v>
      </c>
      <c r="H155" s="633" t="e">
        <f t="shared" si="46"/>
        <v>#DIV/0!</v>
      </c>
      <c r="I155" s="633" t="e">
        <f t="shared" si="46"/>
        <v>#DIV/0!</v>
      </c>
      <c r="J155" s="633" t="e">
        <f t="shared" si="46"/>
        <v>#DIV/0!</v>
      </c>
    </row>
    <row r="156" spans="1:10">
      <c r="A156" s="620">
        <f>A155+1</f>
        <v>106</v>
      </c>
      <c r="B156" s="7" t="str">
        <f>"Preferred Stock Capital Shares (Ln "&amp;A151&amp;" / Ln "&amp;A153&amp;")"</f>
        <v>Preferred Stock Capital Shares (Ln 102 / Ln 104)</v>
      </c>
      <c r="C156" s="633" t="e">
        <f t="shared" ref="C156:J156" si="47">C151/C153</f>
        <v>#DIV/0!</v>
      </c>
      <c r="D156" s="633"/>
      <c r="E156" s="633" t="e">
        <f t="shared" si="47"/>
        <v>#DIV/0!</v>
      </c>
      <c r="F156" s="633" t="e">
        <f t="shared" si="47"/>
        <v>#DIV/0!</v>
      </c>
      <c r="G156" s="633" t="e">
        <f t="shared" si="47"/>
        <v>#DIV/0!</v>
      </c>
      <c r="H156" s="633" t="e">
        <f t="shared" si="47"/>
        <v>#DIV/0!</v>
      </c>
      <c r="I156" s="633" t="e">
        <f t="shared" si="47"/>
        <v>#DIV/0!</v>
      </c>
      <c r="J156" s="633" t="e">
        <f t="shared" si="47"/>
        <v>#DIV/0!</v>
      </c>
    </row>
    <row r="157" spans="1:10">
      <c r="A157" s="620">
        <f>A156+1</f>
        <v>107</v>
      </c>
      <c r="B157" s="7" t="str">
        <f>"Common Equity Capital Shares (Ln "&amp;A152&amp;" / Ln "&amp;A153&amp;")"</f>
        <v>Common Equity Capital Shares (Ln 103 / Ln 104)</v>
      </c>
      <c r="C157" s="634" t="e">
        <f t="shared" ref="C157:J157" si="48">C152/C153</f>
        <v>#DIV/0!</v>
      </c>
      <c r="D157" s="634"/>
      <c r="E157" s="634" t="e">
        <f t="shared" si="48"/>
        <v>#DIV/0!</v>
      </c>
      <c r="F157" s="634" t="e">
        <f t="shared" si="48"/>
        <v>#DIV/0!</v>
      </c>
      <c r="G157" s="634" t="e">
        <f t="shared" si="48"/>
        <v>#DIV/0!</v>
      </c>
      <c r="H157" s="634" t="e">
        <f t="shared" si="48"/>
        <v>#DIV/0!</v>
      </c>
      <c r="I157" s="634" t="e">
        <f t="shared" si="48"/>
        <v>#DIV/0!</v>
      </c>
      <c r="J157" s="634" t="e">
        <f t="shared" si="48"/>
        <v>#DIV/0!</v>
      </c>
    </row>
    <row r="158" spans="1:10">
      <c r="B158" s="7"/>
      <c r="C158" s="634"/>
      <c r="D158" s="634"/>
      <c r="E158" s="634"/>
      <c r="F158" s="634"/>
      <c r="G158" s="634"/>
      <c r="H158" s="634"/>
      <c r="I158" s="634"/>
      <c r="J158" s="634"/>
    </row>
    <row r="159" spans="1:10">
      <c r="A159" s="620">
        <f>A157+1</f>
        <v>108</v>
      </c>
      <c r="B159" s="346" t="s">
        <v>556</v>
      </c>
      <c r="C159" s="635"/>
      <c r="D159" s="635"/>
      <c r="E159" s="635"/>
      <c r="F159" s="635"/>
      <c r="G159" s="635"/>
      <c r="H159" s="635"/>
      <c r="I159" s="635"/>
      <c r="J159" s="635"/>
    </row>
    <row r="160" spans="1:10">
      <c r="B160" s="7"/>
      <c r="C160" s="634"/>
      <c r="D160" s="634"/>
      <c r="E160" s="634"/>
      <c r="F160" s="634"/>
      <c r="G160" s="634"/>
      <c r="H160" s="634"/>
      <c r="I160" s="634"/>
      <c r="J160" s="634"/>
    </row>
    <row r="161" spans="1:10">
      <c r="A161" s="620">
        <f>A159+1</f>
        <v>109</v>
      </c>
      <c r="B161" s="346" t="s">
        <v>556</v>
      </c>
      <c r="C161" s="634"/>
      <c r="D161" s="634"/>
      <c r="E161" s="634"/>
      <c r="F161" s="634"/>
      <c r="G161" s="634"/>
      <c r="H161" s="634"/>
      <c r="I161" s="634"/>
      <c r="J161" s="634"/>
    </row>
    <row r="162" spans="1:10">
      <c r="A162" s="620">
        <f>A161+1</f>
        <v>110</v>
      </c>
      <c r="B162" s="346" t="s">
        <v>556</v>
      </c>
      <c r="C162" s="634"/>
      <c r="D162" s="634"/>
      <c r="E162" s="634"/>
      <c r="F162" s="634"/>
      <c r="G162" s="634"/>
      <c r="H162" s="634"/>
      <c r="I162" s="634"/>
      <c r="J162" s="634"/>
    </row>
    <row r="163" spans="1:10">
      <c r="A163" s="620">
        <f>A162+1</f>
        <v>111</v>
      </c>
      <c r="B163" s="346" t="s">
        <v>556</v>
      </c>
      <c r="C163" s="634"/>
      <c r="D163" s="634"/>
      <c r="E163" s="634"/>
      <c r="F163" s="634"/>
      <c r="G163" s="634"/>
      <c r="H163" s="634"/>
      <c r="I163" s="634"/>
      <c r="J163" s="634"/>
    </row>
    <row r="164" spans="1:10">
      <c r="B164" s="7"/>
      <c r="C164" s="633"/>
      <c r="D164" s="633"/>
      <c r="E164" s="633"/>
      <c r="F164" s="633"/>
      <c r="G164" s="633"/>
      <c r="H164" s="633"/>
      <c r="I164" s="633"/>
      <c r="J164" s="633"/>
    </row>
    <row r="165" spans="1:10" ht="15">
      <c r="A165" s="603" t="s">
        <v>527</v>
      </c>
    </row>
    <row r="166" spans="1:10">
      <c r="A166" s="620">
        <f>A163+1</f>
        <v>112</v>
      </c>
      <c r="B166" s="7" t="str">
        <f>"LTD Capital Cost Rate (Ln "&amp;A112&amp;" / Ln "&amp;A101&amp;")"</f>
        <v>LTD Capital Cost Rate (Ln 73 / Ln 65)</v>
      </c>
      <c r="C166" s="633" t="e">
        <f t="shared" ref="C166:J166" si="49">C112/C101</f>
        <v>#DIV/0!</v>
      </c>
      <c r="D166" s="633"/>
      <c r="E166" s="633" t="e">
        <f t="shared" si="49"/>
        <v>#DIV/0!</v>
      </c>
      <c r="F166" s="633" t="e">
        <f t="shared" si="49"/>
        <v>#DIV/0!</v>
      </c>
      <c r="G166" s="633" t="e">
        <f t="shared" si="49"/>
        <v>#DIV/0!</v>
      </c>
      <c r="H166" s="633" t="e">
        <f t="shared" si="49"/>
        <v>#DIV/0!</v>
      </c>
      <c r="I166" s="633" t="e">
        <f t="shared" si="49"/>
        <v>#DIV/0!</v>
      </c>
      <c r="J166" s="633" t="e">
        <f t="shared" si="49"/>
        <v>#DIV/0!</v>
      </c>
    </row>
    <row r="167" spans="1:10">
      <c r="A167" s="620">
        <f>A166+1</f>
        <v>113</v>
      </c>
      <c r="B167" s="7" t="str">
        <f>"Preferred Stock Capital Cost Rate (Ln "&amp;A140&amp;" / Ln "&amp;A139&amp;")"</f>
        <v>Preferred Stock Capital Cost Rate (Ln 95 / Ln 94)</v>
      </c>
      <c r="C167" s="633">
        <f t="shared" ref="C167:J167" si="50">IF(C139=0,0,C140/C139)</f>
        <v>0</v>
      </c>
      <c r="D167" s="633"/>
      <c r="E167" s="633">
        <f t="shared" si="50"/>
        <v>0</v>
      </c>
      <c r="F167" s="633">
        <f t="shared" si="50"/>
        <v>0</v>
      </c>
      <c r="G167" s="633">
        <f t="shared" si="50"/>
        <v>0</v>
      </c>
      <c r="H167" s="633">
        <f t="shared" si="50"/>
        <v>0</v>
      </c>
      <c r="I167" s="633">
        <f t="shared" si="50"/>
        <v>0</v>
      </c>
      <c r="J167" s="633">
        <f t="shared" si="50"/>
        <v>0</v>
      </c>
    </row>
    <row r="168" spans="1:10">
      <c r="A168" s="620">
        <f>A167+1</f>
        <v>114</v>
      </c>
      <c r="B168" s="7" t="s">
        <v>528</v>
      </c>
      <c r="C168" s="633">
        <v>0.1149</v>
      </c>
      <c r="D168" s="633"/>
      <c r="E168" s="633">
        <v>0.1149</v>
      </c>
      <c r="F168" s="633">
        <v>0.1149</v>
      </c>
      <c r="G168" s="633">
        <v>0.1149</v>
      </c>
      <c r="H168" s="633">
        <v>0.1149</v>
      </c>
      <c r="I168" s="633">
        <v>0.1149</v>
      </c>
      <c r="J168" s="633">
        <v>0.1149</v>
      </c>
    </row>
    <row r="170" spans="1:10" ht="15">
      <c r="A170" s="603" t="s">
        <v>529</v>
      </c>
    </row>
    <row r="171" spans="1:10">
      <c r="A171" s="620">
        <f>A168+1</f>
        <v>115</v>
      </c>
      <c r="B171" s="7" t="str">
        <f>"LTD Weighted Capital Cost Rate (Ln "&amp;A155&amp;" * Ln "&amp;A166&amp;")"</f>
        <v>LTD Weighted Capital Cost Rate (Ln 105 * Ln 112)</v>
      </c>
      <c r="C171" s="633" t="e">
        <f>C155*C166</f>
        <v>#DIV/0!</v>
      </c>
      <c r="D171" s="633"/>
      <c r="E171" s="633" t="e">
        <f t="shared" ref="E171:J171" si="51">E155*E166</f>
        <v>#DIV/0!</v>
      </c>
      <c r="F171" s="633" t="e">
        <f t="shared" si="51"/>
        <v>#DIV/0!</v>
      </c>
      <c r="G171" s="633" t="e">
        <f t="shared" si="51"/>
        <v>#DIV/0!</v>
      </c>
      <c r="H171" s="633" t="e">
        <f t="shared" si="51"/>
        <v>#DIV/0!</v>
      </c>
      <c r="I171" s="633" t="e">
        <f t="shared" si="51"/>
        <v>#DIV/0!</v>
      </c>
      <c r="J171" s="633" t="e">
        <f t="shared" si="51"/>
        <v>#DIV/0!</v>
      </c>
    </row>
    <row r="172" spans="1:10">
      <c r="A172" s="620">
        <f>A171+1</f>
        <v>116</v>
      </c>
      <c r="B172" s="7" t="str">
        <f>"Preferred Stock Capital Cost Rate (Ln "&amp;A156&amp;" * Ln "&amp;A167&amp;")"</f>
        <v>Preferred Stock Capital Cost Rate (Ln 106 * Ln 113)</v>
      </c>
      <c r="C172" s="633" t="e">
        <f>C156*C167</f>
        <v>#DIV/0!</v>
      </c>
      <c r="D172" s="633"/>
      <c r="E172" s="633" t="e">
        <f t="shared" ref="E172:J172" si="52">E156*E167</f>
        <v>#DIV/0!</v>
      </c>
      <c r="F172" s="633" t="e">
        <f t="shared" si="52"/>
        <v>#DIV/0!</v>
      </c>
      <c r="G172" s="633" t="e">
        <f t="shared" si="52"/>
        <v>#DIV/0!</v>
      </c>
      <c r="H172" s="633" t="e">
        <f t="shared" si="52"/>
        <v>#DIV/0!</v>
      </c>
      <c r="I172" s="633" t="e">
        <f t="shared" si="52"/>
        <v>#DIV/0!</v>
      </c>
      <c r="J172" s="633" t="e">
        <f t="shared" si="52"/>
        <v>#DIV/0!</v>
      </c>
    </row>
    <row r="173" spans="1:10">
      <c r="A173" s="620">
        <f>A172+1</f>
        <v>117</v>
      </c>
      <c r="B173" s="7" t="str">
        <f>"Common Equity Capital Cost Rate (Ln "&amp;A157&amp;" * Ln "&amp;A168&amp;")"</f>
        <v>Common Equity Capital Cost Rate (Ln 107 * Ln 114)</v>
      </c>
      <c r="C173" s="636" t="e">
        <f>C157*C168</f>
        <v>#DIV/0!</v>
      </c>
      <c r="D173" s="636"/>
      <c r="E173" s="636" t="e">
        <f t="shared" ref="E173:J173" si="53">E157*E168</f>
        <v>#DIV/0!</v>
      </c>
      <c r="F173" s="636" t="e">
        <f t="shared" si="53"/>
        <v>#DIV/0!</v>
      </c>
      <c r="G173" s="636" t="e">
        <f t="shared" si="53"/>
        <v>#DIV/0!</v>
      </c>
      <c r="H173" s="636" t="e">
        <f t="shared" si="53"/>
        <v>#DIV/0!</v>
      </c>
      <c r="I173" s="636" t="e">
        <f t="shared" si="53"/>
        <v>#DIV/0!</v>
      </c>
      <c r="J173" s="636" t="e">
        <f t="shared" si="53"/>
        <v>#DIV/0!</v>
      </c>
    </row>
    <row r="174" spans="1:10">
      <c r="A174" s="620">
        <f>A173+1</f>
        <v>118</v>
      </c>
      <c r="B174" s="626" t="s">
        <v>526</v>
      </c>
      <c r="C174" s="637" t="e">
        <f t="shared" ref="C174:J174" si="54">SUM(C171:C173)</f>
        <v>#DIV/0!</v>
      </c>
      <c r="D174" s="637"/>
      <c r="E174" s="637" t="e">
        <f t="shared" si="54"/>
        <v>#DIV/0!</v>
      </c>
      <c r="F174" s="637" t="e">
        <f t="shared" si="54"/>
        <v>#DIV/0!</v>
      </c>
      <c r="G174" s="637" t="e">
        <f t="shared" si="54"/>
        <v>#DIV/0!</v>
      </c>
      <c r="H174" s="637" t="e">
        <f t="shared" si="54"/>
        <v>#DIV/0!</v>
      </c>
      <c r="I174" s="637" t="e">
        <f t="shared" si="54"/>
        <v>#DIV/0!</v>
      </c>
      <c r="J174" s="637" t="e">
        <f t="shared" si="54"/>
        <v>#DIV/0!</v>
      </c>
    </row>
    <row r="177" spans="1:10">
      <c r="A177" s="1231" t="s">
        <v>505</v>
      </c>
      <c r="B177" s="1231"/>
      <c r="C177" s="1231"/>
      <c r="D177" s="1231"/>
      <c r="E177" s="1231"/>
      <c r="F177" s="1231"/>
      <c r="G177" s="1231"/>
      <c r="H177" s="1231"/>
      <c r="I177" s="1231"/>
      <c r="J177" s="1231"/>
    </row>
    <row r="178" spans="1:10">
      <c r="A178" s="1231" t="s">
        <v>530</v>
      </c>
      <c r="B178" s="1231"/>
      <c r="C178" s="1231"/>
      <c r="D178" s="1231"/>
      <c r="E178" s="1231"/>
      <c r="F178" s="1231"/>
      <c r="G178" s="1231"/>
      <c r="H178" s="1231"/>
      <c r="I178" s="1231"/>
      <c r="J178" s="1231"/>
    </row>
    <row r="179" spans="1:10">
      <c r="A179" s="1231" t="s">
        <v>250</v>
      </c>
      <c r="B179" s="1231"/>
      <c r="C179" s="1231"/>
      <c r="D179" s="1231"/>
      <c r="E179" s="1231"/>
      <c r="F179" s="1231"/>
      <c r="G179" s="1231"/>
      <c r="H179" s="1231"/>
      <c r="I179" s="1231"/>
      <c r="J179" s="1231"/>
    </row>
    <row r="181" spans="1:10" ht="76.5">
      <c r="A181" s="620" t="s">
        <v>459</v>
      </c>
      <c r="C181" s="621" t="s">
        <v>506</v>
      </c>
      <c r="D181" s="621"/>
      <c r="E181" s="621" t="s">
        <v>507</v>
      </c>
      <c r="F181" s="621" t="s">
        <v>508</v>
      </c>
      <c r="G181" s="621" t="s">
        <v>509</v>
      </c>
      <c r="H181" s="621" t="s">
        <v>510</v>
      </c>
      <c r="I181" s="621" t="s">
        <v>511</v>
      </c>
      <c r="J181" s="621" t="s">
        <v>512</v>
      </c>
    </row>
    <row r="182" spans="1:10" ht="15">
      <c r="A182" s="603" t="s">
        <v>531</v>
      </c>
    </row>
    <row r="183" spans="1:10">
      <c r="A183" s="620">
        <f>A174+1</f>
        <v>119</v>
      </c>
      <c r="B183" s="75" t="str">
        <f>"Average Bonds (Ln "&amp;A9&amp;" + Ln "&amp;A96&amp;") / 2"</f>
        <v>Average Bonds (Ln 1 + Ln 60) / 2</v>
      </c>
      <c r="C183" s="591" t="e">
        <f t="shared" ref="C183:I187" si="55">AVERAGE(C9,C96)</f>
        <v>#DIV/0!</v>
      </c>
      <c r="D183" s="591"/>
      <c r="E183" s="591" t="e">
        <f t="shared" si="55"/>
        <v>#DIV/0!</v>
      </c>
      <c r="F183" s="591" t="e">
        <f t="shared" si="55"/>
        <v>#DIV/0!</v>
      </c>
      <c r="G183" s="591" t="e">
        <f t="shared" si="55"/>
        <v>#DIV/0!</v>
      </c>
      <c r="H183" s="591" t="e">
        <f t="shared" si="55"/>
        <v>#DIV/0!</v>
      </c>
      <c r="I183" s="591" t="e">
        <f t="shared" si="55"/>
        <v>#DIV/0!</v>
      </c>
      <c r="J183" s="591" t="e">
        <f>SUM(C183:I183)</f>
        <v>#DIV/0!</v>
      </c>
    </row>
    <row r="184" spans="1:10">
      <c r="A184" s="620">
        <f>A183+1</f>
        <v>120</v>
      </c>
      <c r="B184" s="75" t="str">
        <f>"Less: Average Reacquired Bonds (Ln "&amp;A10&amp;" + Ln "&amp;A97&amp;") / 2"</f>
        <v>Less: Average Reacquired Bonds (Ln 2 + Ln 61) / 2</v>
      </c>
      <c r="C184" s="591" t="e">
        <f t="shared" si="55"/>
        <v>#DIV/0!</v>
      </c>
      <c r="D184" s="591"/>
      <c r="E184" s="591" t="e">
        <f t="shared" si="55"/>
        <v>#DIV/0!</v>
      </c>
      <c r="F184" s="591" t="e">
        <f t="shared" si="55"/>
        <v>#DIV/0!</v>
      </c>
      <c r="G184" s="591" t="e">
        <f t="shared" si="55"/>
        <v>#DIV/0!</v>
      </c>
      <c r="H184" s="591" t="e">
        <f t="shared" si="55"/>
        <v>#DIV/0!</v>
      </c>
      <c r="I184" s="591" t="e">
        <f t="shared" si="55"/>
        <v>#DIV/0!</v>
      </c>
      <c r="J184" s="591" t="e">
        <f>SUM(C184:I184)</f>
        <v>#DIV/0!</v>
      </c>
    </row>
    <row r="185" spans="1:10">
      <c r="A185" s="620">
        <f>A184+1</f>
        <v>121</v>
      </c>
      <c r="B185" s="14" t="str">
        <f>"Average LT Advances from Assoc. Companies (Ln "&amp;A11&amp;" + Ln "&amp;A98&amp;") / 2"</f>
        <v>Average LT Advances from Assoc. Companies (Ln 3 + Ln 62) / 2</v>
      </c>
      <c r="C185" s="591" t="e">
        <f t="shared" si="55"/>
        <v>#DIV/0!</v>
      </c>
      <c r="D185" s="591"/>
      <c r="E185" s="591" t="e">
        <f t="shared" si="55"/>
        <v>#DIV/0!</v>
      </c>
      <c r="F185" s="591" t="e">
        <f t="shared" si="55"/>
        <v>#DIV/0!</v>
      </c>
      <c r="G185" s="591" t="e">
        <f t="shared" si="55"/>
        <v>#DIV/0!</v>
      </c>
      <c r="H185" s="591" t="e">
        <f t="shared" si="55"/>
        <v>#DIV/0!</v>
      </c>
      <c r="I185" s="591" t="e">
        <f t="shared" si="55"/>
        <v>#DIV/0!</v>
      </c>
      <c r="J185" s="591" t="e">
        <f>SUM(C185:I185)</f>
        <v>#DIV/0!</v>
      </c>
    </row>
    <row r="186" spans="1:10">
      <c r="A186" s="620">
        <f>A185+1</f>
        <v>122</v>
      </c>
      <c r="B186" s="14" t="str">
        <f>"Average Senior Unsecured Notes (Ln "&amp;A12&amp;" + Ln "&amp;A99&amp;") / 2"</f>
        <v>Average Senior Unsecured Notes (Ln 4 + Ln 63) / 2</v>
      </c>
      <c r="C186" s="591" t="e">
        <f t="shared" si="55"/>
        <v>#DIV/0!</v>
      </c>
      <c r="D186" s="591"/>
      <c r="E186" s="591" t="e">
        <f t="shared" si="55"/>
        <v>#DIV/0!</v>
      </c>
      <c r="F186" s="591" t="e">
        <f t="shared" si="55"/>
        <v>#DIV/0!</v>
      </c>
      <c r="G186" s="591" t="e">
        <f t="shared" si="55"/>
        <v>#DIV/0!</v>
      </c>
      <c r="H186" s="591" t="e">
        <f t="shared" si="55"/>
        <v>#DIV/0!</v>
      </c>
      <c r="I186" s="591" t="e">
        <f t="shared" si="55"/>
        <v>#DIV/0!</v>
      </c>
      <c r="J186" s="591" t="e">
        <f>SUM(C186:I186)</f>
        <v>#DIV/0!</v>
      </c>
    </row>
    <row r="187" spans="1:10">
      <c r="A187" s="620">
        <f>A186+1</f>
        <v>123</v>
      </c>
      <c r="B187" s="14" t="str">
        <f>"Less: Average Fair Value Hedges (See Note on Ln "&amp;A190&amp;" below)"</f>
        <v>Less: Average Fair Value Hedges (See Note on Ln 125 below)</v>
      </c>
      <c r="C187" s="638" t="e">
        <f t="shared" si="55"/>
        <v>#DIV/0!</v>
      </c>
      <c r="D187" s="638"/>
      <c r="E187" s="638" t="e">
        <f t="shared" si="55"/>
        <v>#DIV/0!</v>
      </c>
      <c r="F187" s="638" t="e">
        <f t="shared" si="55"/>
        <v>#DIV/0!</v>
      </c>
      <c r="G187" s="638" t="e">
        <f t="shared" si="55"/>
        <v>#DIV/0!</v>
      </c>
      <c r="H187" s="638" t="e">
        <f t="shared" si="55"/>
        <v>#DIV/0!</v>
      </c>
      <c r="I187" s="638" t="e">
        <f t="shared" si="55"/>
        <v>#DIV/0!</v>
      </c>
      <c r="J187" s="622" t="e">
        <f>SUM(C187:I187)</f>
        <v>#DIV/0!</v>
      </c>
    </row>
    <row r="188" spans="1:10">
      <c r="A188" s="620">
        <f>A187+1</f>
        <v>124</v>
      </c>
      <c r="B188" s="13" t="s">
        <v>532</v>
      </c>
      <c r="C188" s="623" t="e">
        <f t="shared" ref="C188:J188" si="56">C183-C184+C185+C186-C187</f>
        <v>#DIV/0!</v>
      </c>
      <c r="D188" s="623"/>
      <c r="E188" s="623" t="e">
        <f t="shared" si="56"/>
        <v>#DIV/0!</v>
      </c>
      <c r="F188" s="623" t="e">
        <f t="shared" si="56"/>
        <v>#DIV/0!</v>
      </c>
      <c r="G188" s="623" t="e">
        <f t="shared" si="56"/>
        <v>#DIV/0!</v>
      </c>
      <c r="H188" s="623" t="e">
        <f t="shared" si="56"/>
        <v>#DIV/0!</v>
      </c>
      <c r="I188" s="623" t="e">
        <f t="shared" si="56"/>
        <v>#DIV/0!</v>
      </c>
      <c r="J188" s="623" t="e">
        <f t="shared" si="56"/>
        <v>#DIV/0!</v>
      </c>
    </row>
    <row r="190" spans="1:10">
      <c r="A190" s="620">
        <f>A188+1</f>
        <v>125</v>
      </c>
      <c r="B190" s="1232" t="s">
        <v>57</v>
      </c>
      <c r="C190" s="1232"/>
      <c r="D190" s="1232"/>
      <c r="E190" s="1232"/>
      <c r="F190" s="1232"/>
      <c r="G190" s="1232"/>
      <c r="H190" s="1232"/>
      <c r="I190" s="1232"/>
      <c r="J190" s="1232"/>
    </row>
    <row r="191" spans="1:10">
      <c r="A191" s="639"/>
      <c r="B191" s="624"/>
      <c r="C191" s="624"/>
      <c r="D191" s="624"/>
      <c r="E191" s="624"/>
      <c r="F191" s="624"/>
      <c r="G191" s="624"/>
      <c r="H191" s="624"/>
      <c r="I191" s="624"/>
      <c r="J191" s="624"/>
    </row>
    <row r="192" spans="1:10" ht="15">
      <c r="A192" s="603" t="str">
        <f>"Development of "&amp;TCOS!O3&amp;" Long Term Debt Interest Expense"</f>
        <v>Development of   Long Term Debt Interest Expense</v>
      </c>
    </row>
    <row r="193" spans="1:10">
      <c r="A193" s="620">
        <f>A190+1</f>
        <v>126</v>
      </c>
      <c r="B193" s="14" t="str">
        <f t="shared" ref="B193:I193" si="57">B19</f>
        <v>Interest on Long Term Debt (256-257.33.i)</v>
      </c>
      <c r="C193" s="344">
        <f t="shared" si="57"/>
        <v>0</v>
      </c>
      <c r="D193" s="344"/>
      <c r="E193" s="344">
        <f t="shared" si="57"/>
        <v>0</v>
      </c>
      <c r="F193" s="344">
        <f t="shared" si="57"/>
        <v>0</v>
      </c>
      <c r="G193" s="344">
        <f t="shared" si="57"/>
        <v>0</v>
      </c>
      <c r="H193" s="344">
        <f t="shared" si="57"/>
        <v>0</v>
      </c>
      <c r="I193" s="344">
        <f t="shared" si="57"/>
        <v>0</v>
      </c>
      <c r="J193" s="344">
        <f t="shared" ref="J193:J198" si="58">SUM(C193:I193)</f>
        <v>0</v>
      </c>
    </row>
    <row r="194" spans="1:10">
      <c r="A194" s="620">
        <f t="shared" ref="A194:A199" si="59">A193+1</f>
        <v>127</v>
      </c>
      <c r="B194" s="14" t="str">
        <f t="shared" ref="B194:C198" si="60">B20</f>
        <v>Amort of Debt Discount &amp; Expense (117.63.c)</v>
      </c>
      <c r="C194" s="344">
        <f>C20</f>
        <v>0</v>
      </c>
      <c r="D194" s="344"/>
      <c r="E194" s="344">
        <f t="shared" ref="E194:I195" si="61">E20</f>
        <v>0</v>
      </c>
      <c r="F194" s="344">
        <f t="shared" si="61"/>
        <v>0</v>
      </c>
      <c r="G194" s="344">
        <f t="shared" si="61"/>
        <v>0</v>
      </c>
      <c r="H194" s="344">
        <f t="shared" si="61"/>
        <v>0</v>
      </c>
      <c r="I194" s="344">
        <f t="shared" si="61"/>
        <v>0</v>
      </c>
      <c r="J194" s="344">
        <f t="shared" si="58"/>
        <v>0</v>
      </c>
    </row>
    <row r="195" spans="1:10">
      <c r="A195" s="620">
        <f t="shared" si="59"/>
        <v>128</v>
      </c>
      <c r="B195" s="14" t="str">
        <f t="shared" si="60"/>
        <v>Amort of Loss on Reacquired Debt (117.64.c)</v>
      </c>
      <c r="C195" s="344">
        <f t="shared" si="60"/>
        <v>0</v>
      </c>
      <c r="D195" s="344"/>
      <c r="E195" s="344">
        <f t="shared" si="61"/>
        <v>0</v>
      </c>
      <c r="F195" s="344">
        <f t="shared" si="61"/>
        <v>0</v>
      </c>
      <c r="G195" s="344">
        <f t="shared" si="61"/>
        <v>0</v>
      </c>
      <c r="H195" s="344">
        <f t="shared" si="61"/>
        <v>0</v>
      </c>
      <c r="I195" s="344">
        <f t="shared" si="61"/>
        <v>0</v>
      </c>
      <c r="J195" s="344">
        <f t="shared" si="58"/>
        <v>0</v>
      </c>
    </row>
    <row r="196" spans="1:10">
      <c r="A196" s="620">
        <f t="shared" si="59"/>
        <v>129</v>
      </c>
      <c r="B196" s="14" t="str">
        <f>B22</f>
        <v>Less: Amort of Premium on Debt (117.65.c)</v>
      </c>
      <c r="C196" s="344">
        <f t="shared" ref="C196:I196" si="62">C22</f>
        <v>0</v>
      </c>
      <c r="D196" s="344"/>
      <c r="E196" s="344">
        <f t="shared" si="62"/>
        <v>0</v>
      </c>
      <c r="F196" s="344">
        <f t="shared" si="62"/>
        <v>0</v>
      </c>
      <c r="G196" s="344">
        <f t="shared" si="62"/>
        <v>0</v>
      </c>
      <c r="H196" s="344">
        <f t="shared" si="62"/>
        <v>0</v>
      </c>
      <c r="I196" s="344">
        <f t="shared" si="62"/>
        <v>0</v>
      </c>
      <c r="J196" s="591">
        <f t="shared" si="58"/>
        <v>0</v>
      </c>
    </row>
    <row r="197" spans="1:10">
      <c r="A197" s="620">
        <f t="shared" si="59"/>
        <v>130</v>
      </c>
      <c r="B197" s="14" t="str">
        <f t="shared" si="60"/>
        <v>Less: Amort of Gain on Reacquired Debt (117.66.c)</v>
      </c>
      <c r="C197" s="344">
        <f>C23</f>
        <v>0</v>
      </c>
      <c r="D197" s="344"/>
      <c r="E197" s="344">
        <f t="shared" ref="E197:I198" si="63">E23</f>
        <v>0</v>
      </c>
      <c r="F197" s="344">
        <f t="shared" si="63"/>
        <v>0</v>
      </c>
      <c r="G197" s="344">
        <f t="shared" si="63"/>
        <v>0</v>
      </c>
      <c r="H197" s="344">
        <f t="shared" si="63"/>
        <v>0</v>
      </c>
      <c r="I197" s="344">
        <f t="shared" si="63"/>
        <v>0</v>
      </c>
      <c r="J197" s="591">
        <f t="shared" si="58"/>
        <v>0</v>
      </c>
    </row>
    <row r="198" spans="1:10">
      <c r="A198" s="620">
        <f t="shared" si="59"/>
        <v>131</v>
      </c>
      <c r="B198" s="14" t="str">
        <f t="shared" si="60"/>
        <v>Less: Hedge Interest on pp 256-257(i)</v>
      </c>
      <c r="C198" s="638">
        <f>C24</f>
        <v>0</v>
      </c>
      <c r="D198" s="638"/>
      <c r="E198" s="638">
        <f t="shared" si="63"/>
        <v>0</v>
      </c>
      <c r="F198" s="638">
        <f t="shared" si="63"/>
        <v>0</v>
      </c>
      <c r="G198" s="638">
        <f t="shared" si="63"/>
        <v>0</v>
      </c>
      <c r="H198" s="638">
        <f t="shared" si="63"/>
        <v>0</v>
      </c>
      <c r="I198" s="638">
        <f t="shared" si="63"/>
        <v>0</v>
      </c>
      <c r="J198" s="622">
        <f t="shared" si="58"/>
        <v>0</v>
      </c>
    </row>
    <row r="199" spans="1:10">
      <c r="A199" s="620">
        <f t="shared" si="59"/>
        <v>132</v>
      </c>
      <c r="B199" s="640" t="str">
        <f>""&amp;TCOS!O3&amp;" LTD Interest Expense"</f>
        <v xml:space="preserve">  LTD Interest Expense</v>
      </c>
      <c r="C199" s="627">
        <f t="shared" ref="C199:J199" si="64">C193+C194+C195-C196-C197-C198</f>
        <v>0</v>
      </c>
      <c r="D199" s="627"/>
      <c r="E199" s="627">
        <f t="shared" si="64"/>
        <v>0</v>
      </c>
      <c r="F199" s="627">
        <f t="shared" si="64"/>
        <v>0</v>
      </c>
      <c r="G199" s="627">
        <f t="shared" si="64"/>
        <v>0</v>
      </c>
      <c r="H199" s="627">
        <f t="shared" si="64"/>
        <v>0</v>
      </c>
      <c r="I199" s="627">
        <f t="shared" si="64"/>
        <v>0</v>
      </c>
      <c r="J199" s="627">
        <f t="shared" si="64"/>
        <v>0</v>
      </c>
    </row>
    <row r="201" spans="1:10" ht="15">
      <c r="A201" s="603" t="str">
        <f>""&amp;TCOS!O3&amp;" Cost of Preferred Stock and Preferred Dividends"</f>
        <v xml:space="preserve">  Cost of Preferred Stock and Preferred Dividends</v>
      </c>
      <c r="B201" s="628"/>
      <c r="C201" s="628"/>
      <c r="D201" s="628"/>
      <c r="E201" s="628"/>
    </row>
    <row r="202" spans="1:10">
      <c r="A202" s="620">
        <f>A199+1</f>
        <v>133</v>
      </c>
      <c r="B202" s="7" t="str">
        <f>"Average Balance of Preferred Stock (Ln "&amp;A52&amp;" + Ln "&amp;A139&amp;") / 2"</f>
        <v>Average Balance of Preferred Stock (Ln 35 + Ln 94) / 2</v>
      </c>
      <c r="C202" s="627">
        <f>AVERAGE(C52,C139)</f>
        <v>0</v>
      </c>
      <c r="D202" s="627"/>
      <c r="E202" s="627">
        <f t="shared" ref="E202:J202" si="65">AVERAGE(E52,E139)</f>
        <v>0</v>
      </c>
      <c r="F202" s="627">
        <f t="shared" si="65"/>
        <v>0</v>
      </c>
      <c r="G202" s="627">
        <f t="shared" si="65"/>
        <v>0</v>
      </c>
      <c r="H202" s="627">
        <f t="shared" si="65"/>
        <v>0</v>
      </c>
      <c r="I202" s="627">
        <f t="shared" si="65"/>
        <v>0</v>
      </c>
      <c r="J202" s="627">
        <f t="shared" si="65"/>
        <v>0</v>
      </c>
    </row>
    <row r="203" spans="1:10">
      <c r="A203" s="620">
        <f>A202+1</f>
        <v>134</v>
      </c>
      <c r="B203" s="7" t="str">
        <f>""&amp;TCOS!O3&amp;" Preferred Dividends (Ln "&amp;A53&amp;")"</f>
        <v xml:space="preserve">  Preferred Dividends (Ln 36)</v>
      </c>
      <c r="C203" s="627">
        <f>C53</f>
        <v>0</v>
      </c>
      <c r="D203" s="627"/>
      <c r="E203" s="627">
        <f t="shared" ref="E203:J203" si="66">E53</f>
        <v>0</v>
      </c>
      <c r="F203" s="627">
        <f t="shared" si="66"/>
        <v>0</v>
      </c>
      <c r="G203" s="627">
        <f t="shared" si="66"/>
        <v>0</v>
      </c>
      <c r="H203" s="627">
        <f t="shared" si="66"/>
        <v>0</v>
      </c>
      <c r="I203" s="627">
        <f t="shared" si="66"/>
        <v>0</v>
      </c>
      <c r="J203" s="627">
        <f t="shared" si="66"/>
        <v>0</v>
      </c>
    </row>
    <row r="204" spans="1:10">
      <c r="B204" s="639"/>
    </row>
    <row r="205" spans="1:10" ht="15">
      <c r="A205" s="603" t="s">
        <v>533</v>
      </c>
    </row>
    <row r="206" spans="1:10">
      <c r="A206" s="620">
        <f>A203+1</f>
        <v>135</v>
      </c>
      <c r="B206" s="453" t="str">
        <f>"Average Proprietary Capital (Ln "&amp;A56&amp;" + Ln "&amp;A143&amp;") / 2"</f>
        <v>Average Proprietary Capital (Ln 37 + Ln 96) / 2</v>
      </c>
      <c r="C206" s="344" t="e">
        <f t="shared" ref="C206:I206" si="67">AVERAGE(C56,C143)</f>
        <v>#DIV/0!</v>
      </c>
      <c r="D206" s="344"/>
      <c r="E206" s="344" t="e">
        <f t="shared" si="67"/>
        <v>#DIV/0!</v>
      </c>
      <c r="F206" s="344" t="e">
        <f t="shared" si="67"/>
        <v>#DIV/0!</v>
      </c>
      <c r="G206" s="344" t="e">
        <f t="shared" si="67"/>
        <v>#DIV/0!</v>
      </c>
      <c r="H206" s="344" t="e">
        <f t="shared" si="67"/>
        <v>#DIV/0!</v>
      </c>
      <c r="I206" s="344" t="e">
        <f t="shared" si="67"/>
        <v>#DIV/0!</v>
      </c>
      <c r="J206" s="627" t="e">
        <f>SUM(C206:I206)</f>
        <v>#DIV/0!</v>
      </c>
    </row>
    <row r="207" spans="1:10">
      <c r="A207" s="620">
        <f>A206+1</f>
        <v>136</v>
      </c>
      <c r="B207" s="453" t="str">
        <f>"Less: Average Preferred Stock (Ln "&amp;A202&amp;" Above)"</f>
        <v>Less: Average Preferred Stock (Ln 133 Above)</v>
      </c>
      <c r="C207" s="344">
        <f t="shared" ref="C207:H207" si="68">C202</f>
        <v>0</v>
      </c>
      <c r="D207" s="344"/>
      <c r="E207" s="344">
        <f t="shared" si="68"/>
        <v>0</v>
      </c>
      <c r="F207" s="344">
        <f t="shared" si="68"/>
        <v>0</v>
      </c>
      <c r="G207" s="344">
        <f t="shared" si="68"/>
        <v>0</v>
      </c>
      <c r="H207" s="344">
        <f t="shared" si="68"/>
        <v>0</v>
      </c>
      <c r="I207" s="344">
        <f>I202</f>
        <v>0</v>
      </c>
      <c r="J207" s="627">
        <f>SUM(C207:I207)</f>
        <v>0</v>
      </c>
    </row>
    <row r="208" spans="1:10">
      <c r="A208" s="620">
        <f>A207+1</f>
        <v>137</v>
      </c>
      <c r="B208" s="453" t="str">
        <f>"Less: Average Account 216.1 (Ln "&amp;A58&amp;" + Ln "&amp;A145&amp;") / 2"</f>
        <v>Less: Average Account 216.1 (Ln 39 + Ln 98) / 2</v>
      </c>
      <c r="C208" s="344" t="e">
        <f t="shared" ref="C208:I209" si="69">AVERAGE(C58,C145)</f>
        <v>#DIV/0!</v>
      </c>
      <c r="D208" s="344"/>
      <c r="E208" s="344" t="e">
        <f t="shared" si="69"/>
        <v>#DIV/0!</v>
      </c>
      <c r="F208" s="344" t="e">
        <f t="shared" si="69"/>
        <v>#DIV/0!</v>
      </c>
      <c r="G208" s="344" t="e">
        <f t="shared" si="69"/>
        <v>#DIV/0!</v>
      </c>
      <c r="H208" s="344" t="e">
        <f t="shared" si="69"/>
        <v>#DIV/0!</v>
      </c>
      <c r="I208" s="344" t="e">
        <f t="shared" si="69"/>
        <v>#DIV/0!</v>
      </c>
      <c r="J208" s="627" t="e">
        <f>SUM(C208:I208)</f>
        <v>#DIV/0!</v>
      </c>
    </row>
    <row r="209" spans="1:12">
      <c r="A209" s="620">
        <f>A208+1</f>
        <v>138</v>
      </c>
      <c r="B209" s="453" t="str">
        <f>"Less: Average Account 219.1 (Ln "&amp;A59&amp;" + Ln "&amp;A146&amp;") / 2"</f>
        <v>Less: Average Account 219.1 (Ln 40 + Ln 99) / 2</v>
      </c>
      <c r="C209" s="638" t="e">
        <f t="shared" si="69"/>
        <v>#DIV/0!</v>
      </c>
      <c r="D209" s="638"/>
      <c r="E209" s="638" t="e">
        <f t="shared" si="69"/>
        <v>#DIV/0!</v>
      </c>
      <c r="F209" s="638" t="e">
        <f t="shared" si="69"/>
        <v>#DIV/0!</v>
      </c>
      <c r="G209" s="638" t="e">
        <f t="shared" si="69"/>
        <v>#DIV/0!</v>
      </c>
      <c r="H209" s="638" t="e">
        <f t="shared" si="69"/>
        <v>#DIV/0!</v>
      </c>
      <c r="I209" s="638" t="e">
        <f t="shared" si="69"/>
        <v>#DIV/0!</v>
      </c>
      <c r="J209" s="632" t="e">
        <f>SUM(C209:I209)</f>
        <v>#DIV/0!</v>
      </c>
    </row>
    <row r="210" spans="1:12">
      <c r="A210" s="620">
        <f>A209+1</f>
        <v>139</v>
      </c>
      <c r="B210" s="457" t="s">
        <v>331</v>
      </c>
      <c r="C210" s="591" t="e">
        <f t="shared" ref="C210:J210" si="70">C206-C207-C208-C209</f>
        <v>#DIV/0!</v>
      </c>
      <c r="D210" s="591"/>
      <c r="E210" s="591" t="e">
        <f t="shared" si="70"/>
        <v>#DIV/0!</v>
      </c>
      <c r="F210" s="591" t="e">
        <f t="shared" si="70"/>
        <v>#DIV/0!</v>
      </c>
      <c r="G210" s="591" t="e">
        <f t="shared" si="70"/>
        <v>#DIV/0!</v>
      </c>
      <c r="H210" s="591" t="e">
        <f t="shared" si="70"/>
        <v>#DIV/0!</v>
      </c>
      <c r="I210" s="591" t="e">
        <f t="shared" si="70"/>
        <v>#DIV/0!</v>
      </c>
      <c r="J210" s="591" t="e">
        <f t="shared" si="70"/>
        <v>#DIV/0!</v>
      </c>
    </row>
    <row r="212" spans="1:12" ht="15">
      <c r="A212" s="603" t="s">
        <v>525</v>
      </c>
    </row>
    <row r="213" spans="1:12">
      <c r="A213" s="620">
        <f>A210+1</f>
        <v>140</v>
      </c>
      <c r="B213" s="7" t="str">
        <f>"Average Balance of Long Term Debt (Ln "&amp;A188&amp;" Above)"</f>
        <v>Average Balance of Long Term Debt (Ln 124 Above)</v>
      </c>
      <c r="C213" s="627" t="e">
        <f t="shared" ref="C213:J213" si="71">C188</f>
        <v>#DIV/0!</v>
      </c>
      <c r="D213" s="627"/>
      <c r="E213" s="627" t="e">
        <f t="shared" si="71"/>
        <v>#DIV/0!</v>
      </c>
      <c r="F213" s="627" t="e">
        <f t="shared" si="71"/>
        <v>#DIV/0!</v>
      </c>
      <c r="G213" s="627" t="e">
        <f t="shared" si="71"/>
        <v>#DIV/0!</v>
      </c>
      <c r="H213" s="627" t="e">
        <f t="shared" si="71"/>
        <v>#DIV/0!</v>
      </c>
      <c r="I213" s="627" t="e">
        <f t="shared" si="71"/>
        <v>#DIV/0!</v>
      </c>
      <c r="J213" s="627" t="e">
        <f t="shared" si="71"/>
        <v>#DIV/0!</v>
      </c>
    </row>
    <row r="214" spans="1:12">
      <c r="A214" s="620">
        <f>A213+1</f>
        <v>141</v>
      </c>
      <c r="B214" s="7" t="str">
        <f>"Average Balance of Preferred Stock (Ln "&amp;A202&amp;" Above)"</f>
        <v>Average Balance of Preferred Stock (Ln 133 Above)</v>
      </c>
      <c r="C214" s="627">
        <f t="shared" ref="C214:J214" si="72">C202</f>
        <v>0</v>
      </c>
      <c r="D214" s="627"/>
      <c r="E214" s="627">
        <f t="shared" si="72"/>
        <v>0</v>
      </c>
      <c r="F214" s="627">
        <f t="shared" si="72"/>
        <v>0</v>
      </c>
      <c r="G214" s="627">
        <f t="shared" si="72"/>
        <v>0</v>
      </c>
      <c r="H214" s="627">
        <f t="shared" si="72"/>
        <v>0</v>
      </c>
      <c r="I214" s="627">
        <f t="shared" si="72"/>
        <v>0</v>
      </c>
      <c r="J214" s="627">
        <f t="shared" si="72"/>
        <v>0</v>
      </c>
    </row>
    <row r="215" spans="1:12">
      <c r="A215" s="620">
        <f>A214+1</f>
        <v>142</v>
      </c>
      <c r="B215" s="7" t="str">
        <f>"Average Balance of Common Equity (Ln "&amp;A210&amp;" Above)"</f>
        <v>Average Balance of Common Equity (Ln 139 Above)</v>
      </c>
      <c r="C215" s="632" t="e">
        <f t="shared" ref="C215:J215" si="73">C210</f>
        <v>#DIV/0!</v>
      </c>
      <c r="D215" s="632"/>
      <c r="E215" s="632" t="e">
        <f t="shared" si="73"/>
        <v>#DIV/0!</v>
      </c>
      <c r="F215" s="632" t="e">
        <f t="shared" si="73"/>
        <v>#DIV/0!</v>
      </c>
      <c r="G215" s="632" t="e">
        <f t="shared" si="73"/>
        <v>#DIV/0!</v>
      </c>
      <c r="H215" s="632" t="e">
        <f t="shared" si="73"/>
        <v>#DIV/0!</v>
      </c>
      <c r="I215" s="632" t="e">
        <f t="shared" si="73"/>
        <v>#DIV/0!</v>
      </c>
      <c r="J215" s="632" t="e">
        <f t="shared" si="73"/>
        <v>#DIV/0!</v>
      </c>
    </row>
    <row r="216" spans="1:12">
      <c r="A216" s="620">
        <f>A215+1</f>
        <v>143</v>
      </c>
      <c r="B216" s="620" t="s">
        <v>534</v>
      </c>
      <c r="C216" s="627" t="e">
        <f t="shared" ref="C216:J216" si="74">SUM(C213:C215)</f>
        <v>#DIV/0!</v>
      </c>
      <c r="D216" s="627"/>
      <c r="E216" s="627" t="e">
        <f t="shared" si="74"/>
        <v>#DIV/0!</v>
      </c>
      <c r="F216" s="627" t="e">
        <f t="shared" si="74"/>
        <v>#DIV/0!</v>
      </c>
      <c r="G216" s="627" t="e">
        <f t="shared" si="74"/>
        <v>#DIV/0!</v>
      </c>
      <c r="H216" s="627" t="e">
        <f t="shared" si="74"/>
        <v>#DIV/0!</v>
      </c>
      <c r="I216" s="627" t="e">
        <f t="shared" si="74"/>
        <v>#DIV/0!</v>
      </c>
      <c r="J216" s="627" t="e">
        <f t="shared" si="74"/>
        <v>#DIV/0!</v>
      </c>
      <c r="L216" s="641"/>
    </row>
    <row r="218" spans="1:12">
      <c r="A218" s="620">
        <f>A216+1</f>
        <v>144</v>
      </c>
      <c r="B218" s="7" t="str">
        <f>"Average Balance of LTD Capital Shares (Ln "&amp;A213&amp;" / Ln "&amp;A216&amp;")"</f>
        <v>Average Balance of LTD Capital Shares (Ln 140 / Ln 143)</v>
      </c>
      <c r="C218" s="633" t="e">
        <f t="shared" ref="C218:I218" si="75">C213/C216</f>
        <v>#DIV/0!</v>
      </c>
      <c r="D218" s="633"/>
      <c r="E218" s="633" t="e">
        <f t="shared" si="75"/>
        <v>#DIV/0!</v>
      </c>
      <c r="F218" s="633" t="e">
        <f t="shared" si="75"/>
        <v>#DIV/0!</v>
      </c>
      <c r="G218" s="633" t="e">
        <f t="shared" si="75"/>
        <v>#DIV/0!</v>
      </c>
      <c r="H218" s="633" t="e">
        <f t="shared" si="75"/>
        <v>#DIV/0!</v>
      </c>
      <c r="I218" s="633" t="e">
        <f t="shared" si="75"/>
        <v>#DIV/0!</v>
      </c>
      <c r="J218" s="633" t="e">
        <f>J213/J216</f>
        <v>#DIV/0!</v>
      </c>
    </row>
    <row r="219" spans="1:12">
      <c r="A219" s="620">
        <f>A218+1</f>
        <v>145</v>
      </c>
      <c r="B219" s="7" t="str">
        <f>"Average Balance of Preferred Stock Capital Shares (Ln "&amp;A214&amp;" / Ln "&amp;A216&amp;")"</f>
        <v>Average Balance of Preferred Stock Capital Shares (Ln 141 / Ln 143)</v>
      </c>
      <c r="C219" s="633" t="e">
        <f t="shared" ref="C219:I219" si="76">C214/C216</f>
        <v>#DIV/0!</v>
      </c>
      <c r="D219" s="633"/>
      <c r="E219" s="633" t="e">
        <f t="shared" si="76"/>
        <v>#DIV/0!</v>
      </c>
      <c r="F219" s="633" t="e">
        <f t="shared" si="76"/>
        <v>#DIV/0!</v>
      </c>
      <c r="G219" s="633" t="e">
        <f t="shared" si="76"/>
        <v>#DIV/0!</v>
      </c>
      <c r="H219" s="633" t="e">
        <f t="shared" si="76"/>
        <v>#DIV/0!</v>
      </c>
      <c r="I219" s="633" t="e">
        <f t="shared" si="76"/>
        <v>#DIV/0!</v>
      </c>
      <c r="J219" s="633" t="e">
        <f>J214/J216</f>
        <v>#DIV/0!</v>
      </c>
    </row>
    <row r="220" spans="1:12">
      <c r="A220" s="620">
        <f>A219+1</f>
        <v>146</v>
      </c>
      <c r="B220" s="7" t="str">
        <f>"Average Balance of Common Equity Capital Shares (Ln "&amp;A215&amp;" / Ln "&amp;A216&amp;")"</f>
        <v>Average Balance of Common Equity Capital Shares (Ln 142 / Ln 143)</v>
      </c>
      <c r="C220" s="634" t="e">
        <f t="shared" ref="C220:I220" si="77">C215/C216</f>
        <v>#DIV/0!</v>
      </c>
      <c r="D220" s="634"/>
      <c r="E220" s="634" t="e">
        <f t="shared" si="77"/>
        <v>#DIV/0!</v>
      </c>
      <c r="F220" s="634" t="e">
        <f t="shared" si="77"/>
        <v>#DIV/0!</v>
      </c>
      <c r="G220" s="634" t="e">
        <f t="shared" si="77"/>
        <v>#DIV/0!</v>
      </c>
      <c r="H220" s="634" t="e">
        <f t="shared" si="77"/>
        <v>#DIV/0!</v>
      </c>
      <c r="I220" s="634" t="e">
        <f t="shared" si="77"/>
        <v>#DIV/0!</v>
      </c>
      <c r="J220" s="634" t="e">
        <f>J215/J216</f>
        <v>#DIV/0!</v>
      </c>
    </row>
    <row r="221" spans="1:12">
      <c r="B221" s="7"/>
      <c r="C221" s="634"/>
      <c r="D221" s="634"/>
      <c r="E221" s="634"/>
      <c r="F221" s="634"/>
      <c r="G221" s="634"/>
      <c r="H221" s="634"/>
      <c r="I221" s="634"/>
      <c r="J221" s="634"/>
    </row>
    <row r="222" spans="1:12">
      <c r="A222" s="620">
        <f>A220+1</f>
        <v>147</v>
      </c>
      <c r="B222" s="346" t="s">
        <v>556</v>
      </c>
      <c r="C222" s="634"/>
      <c r="D222" s="634"/>
      <c r="E222" s="634"/>
      <c r="F222" s="634"/>
      <c r="G222" s="634"/>
      <c r="H222" s="634"/>
      <c r="I222" s="634"/>
      <c r="J222" s="634"/>
    </row>
    <row r="223" spans="1:12">
      <c r="B223" s="7"/>
      <c r="C223" s="634"/>
      <c r="D223" s="634"/>
      <c r="E223" s="634"/>
      <c r="F223" s="634"/>
      <c r="G223" s="634"/>
      <c r="H223" s="634"/>
      <c r="I223" s="634"/>
      <c r="J223" s="634"/>
    </row>
    <row r="224" spans="1:12">
      <c r="A224" s="620">
        <f>A222+1</f>
        <v>148</v>
      </c>
      <c r="B224" s="346" t="s">
        <v>556</v>
      </c>
      <c r="C224" s="634"/>
      <c r="D224" s="634"/>
      <c r="E224" s="634"/>
      <c r="F224" s="634"/>
      <c r="G224" s="634"/>
      <c r="H224" s="634"/>
      <c r="I224" s="634"/>
      <c r="J224" s="634"/>
    </row>
    <row r="225" spans="1:10">
      <c r="A225" s="620">
        <f>A224+1</f>
        <v>149</v>
      </c>
      <c r="B225" s="346" t="s">
        <v>556</v>
      </c>
      <c r="C225" s="634"/>
      <c r="D225" s="634"/>
      <c r="E225" s="634"/>
      <c r="F225" s="634"/>
      <c r="G225" s="634"/>
      <c r="H225" s="634"/>
      <c r="I225" s="634"/>
      <c r="J225" s="634"/>
    </row>
    <row r="226" spans="1:10">
      <c r="A226" s="620">
        <f>A225+1</f>
        <v>150</v>
      </c>
      <c r="B226" s="346" t="s">
        <v>556</v>
      </c>
      <c r="C226" s="634"/>
      <c r="D226" s="634"/>
      <c r="E226" s="634"/>
      <c r="F226" s="634"/>
      <c r="G226" s="634"/>
      <c r="H226" s="634"/>
      <c r="I226" s="634"/>
      <c r="J226" s="634"/>
    </row>
    <row r="227" spans="1:10">
      <c r="B227" s="7"/>
      <c r="C227" s="634"/>
      <c r="D227" s="634"/>
      <c r="E227" s="634"/>
      <c r="F227" s="634"/>
      <c r="G227" s="634"/>
      <c r="H227" s="634"/>
      <c r="I227" s="634"/>
      <c r="J227" s="634"/>
    </row>
    <row r="228" spans="1:10" ht="15">
      <c r="A228" s="603" t="s">
        <v>527</v>
      </c>
    </row>
    <row r="229" spans="1:10">
      <c r="A229" s="620">
        <f>A226+1</f>
        <v>151</v>
      </c>
      <c r="B229" s="7" t="str">
        <f>"LTD Capital Cost Rate (Ln "&amp;A199&amp;" / Ln "&amp;A188&amp;")"</f>
        <v>LTD Capital Cost Rate (Ln 132 / Ln 124)</v>
      </c>
      <c r="C229" s="634" t="e">
        <f t="shared" ref="C229:J229" si="78">C199/C188</f>
        <v>#DIV/0!</v>
      </c>
      <c r="D229" s="634"/>
      <c r="E229" s="634" t="e">
        <f t="shared" si="78"/>
        <v>#DIV/0!</v>
      </c>
      <c r="F229" s="634" t="e">
        <f t="shared" si="78"/>
        <v>#DIV/0!</v>
      </c>
      <c r="G229" s="634" t="e">
        <f t="shared" si="78"/>
        <v>#DIV/0!</v>
      </c>
      <c r="H229" s="634" t="e">
        <f t="shared" si="78"/>
        <v>#DIV/0!</v>
      </c>
      <c r="I229" s="634" t="e">
        <f t="shared" si="78"/>
        <v>#DIV/0!</v>
      </c>
      <c r="J229" s="634" t="e">
        <f t="shared" si="78"/>
        <v>#DIV/0!</v>
      </c>
    </row>
    <row r="230" spans="1:10">
      <c r="A230" s="620">
        <f>A229+1</f>
        <v>152</v>
      </c>
      <c r="B230" s="7" t="str">
        <f>"Preferred Stock Capital Cost Rate (Ln "&amp;A203&amp;" / Ln "&amp;A202&amp;")"</f>
        <v>Preferred Stock Capital Cost Rate (Ln 134 / Ln 133)</v>
      </c>
      <c r="C230" s="634">
        <f t="shared" ref="C230:J230" si="79">IF(C202=0,0,C203/C202)</f>
        <v>0</v>
      </c>
      <c r="D230" s="634"/>
      <c r="E230" s="634">
        <f t="shared" si="79"/>
        <v>0</v>
      </c>
      <c r="F230" s="634">
        <f t="shared" si="79"/>
        <v>0</v>
      </c>
      <c r="G230" s="634">
        <f t="shared" si="79"/>
        <v>0</v>
      </c>
      <c r="H230" s="634">
        <f t="shared" si="79"/>
        <v>0</v>
      </c>
      <c r="I230" s="634">
        <f t="shared" si="79"/>
        <v>0</v>
      </c>
      <c r="J230" s="634">
        <f t="shared" si="79"/>
        <v>0</v>
      </c>
    </row>
    <row r="231" spans="1:10">
      <c r="A231" s="620">
        <f>A230+1</f>
        <v>153</v>
      </c>
      <c r="B231" s="7" t="s">
        <v>528</v>
      </c>
      <c r="C231" s="634">
        <v>0.1149</v>
      </c>
      <c r="D231" s="634"/>
      <c r="E231" s="634">
        <v>0.1149</v>
      </c>
      <c r="F231" s="634">
        <v>0.1149</v>
      </c>
      <c r="G231" s="634">
        <v>0.1149</v>
      </c>
      <c r="H231" s="634">
        <v>0.1149</v>
      </c>
      <c r="I231" s="634">
        <v>0.1149</v>
      </c>
      <c r="J231" s="634">
        <v>0.1149</v>
      </c>
    </row>
    <row r="233" spans="1:10" ht="15">
      <c r="A233" s="603" t="s">
        <v>529</v>
      </c>
    </row>
    <row r="234" spans="1:10">
      <c r="A234" s="620">
        <f>A231+1</f>
        <v>154</v>
      </c>
      <c r="B234" s="7" t="str">
        <f>"LTD Weighted Capital Cost Rate (Ln "&amp;A218&amp;" * Ln "&amp;A229&amp;")"</f>
        <v>LTD Weighted Capital Cost Rate (Ln 144 * Ln 151)</v>
      </c>
      <c r="C234" s="634" t="e">
        <f>C218*C229</f>
        <v>#DIV/0!</v>
      </c>
      <c r="D234" s="634"/>
      <c r="E234" s="634" t="e">
        <f t="shared" ref="E234:J234" si="80">E218*E229</f>
        <v>#DIV/0!</v>
      </c>
      <c r="F234" s="634" t="e">
        <f t="shared" si="80"/>
        <v>#DIV/0!</v>
      </c>
      <c r="G234" s="634" t="e">
        <f t="shared" si="80"/>
        <v>#DIV/0!</v>
      </c>
      <c r="H234" s="634" t="e">
        <f t="shared" si="80"/>
        <v>#DIV/0!</v>
      </c>
      <c r="I234" s="634" t="e">
        <f t="shared" si="80"/>
        <v>#DIV/0!</v>
      </c>
      <c r="J234" s="634" t="e">
        <f t="shared" si="80"/>
        <v>#DIV/0!</v>
      </c>
    </row>
    <row r="235" spans="1:10">
      <c r="A235" s="620">
        <f>A234+1</f>
        <v>155</v>
      </c>
      <c r="B235" s="7" t="str">
        <f>"Preferred Stock Capital Cost Rate (Ln "&amp;A219&amp;" * Ln "&amp;A230&amp;")"</f>
        <v>Preferred Stock Capital Cost Rate (Ln 145 * Ln 152)</v>
      </c>
      <c r="C235" s="634" t="e">
        <f>C219*C230</f>
        <v>#DIV/0!</v>
      </c>
      <c r="D235" s="634"/>
      <c r="E235" s="634" t="e">
        <f t="shared" ref="E235:J235" si="81">E219*E230</f>
        <v>#DIV/0!</v>
      </c>
      <c r="F235" s="634" t="e">
        <f t="shared" si="81"/>
        <v>#DIV/0!</v>
      </c>
      <c r="G235" s="634" t="e">
        <f t="shared" si="81"/>
        <v>#DIV/0!</v>
      </c>
      <c r="H235" s="634" t="e">
        <f t="shared" si="81"/>
        <v>#DIV/0!</v>
      </c>
      <c r="I235" s="634" t="e">
        <f t="shared" si="81"/>
        <v>#DIV/0!</v>
      </c>
      <c r="J235" s="634" t="e">
        <f t="shared" si="81"/>
        <v>#DIV/0!</v>
      </c>
    </row>
    <row r="236" spans="1:10">
      <c r="A236" s="620">
        <f>A235+1</f>
        <v>156</v>
      </c>
      <c r="B236" s="7" t="str">
        <f>"Common Equity Capital Cost Rate (Ln "&amp;A220&amp;" * Ln "&amp;A231&amp;")"</f>
        <v>Common Equity Capital Cost Rate (Ln 146 * Ln 153)</v>
      </c>
      <c r="C236" s="642" t="e">
        <f>C220*C231</f>
        <v>#DIV/0!</v>
      </c>
      <c r="D236" s="642"/>
      <c r="E236" s="642" t="e">
        <f t="shared" ref="E236:J236" si="82">E220*E231</f>
        <v>#DIV/0!</v>
      </c>
      <c r="F236" s="642" t="e">
        <f t="shared" si="82"/>
        <v>#DIV/0!</v>
      </c>
      <c r="G236" s="642" t="e">
        <f t="shared" si="82"/>
        <v>#DIV/0!</v>
      </c>
      <c r="H236" s="642" t="e">
        <f t="shared" si="82"/>
        <v>#DIV/0!</v>
      </c>
      <c r="I236" s="642" t="e">
        <f t="shared" si="82"/>
        <v>#DIV/0!</v>
      </c>
      <c r="J236" s="642" t="e">
        <f t="shared" si="82"/>
        <v>#DIV/0!</v>
      </c>
    </row>
    <row r="237" spans="1:10">
      <c r="A237" s="620">
        <f>A236+1</f>
        <v>157</v>
      </c>
      <c r="B237" s="640" t="s">
        <v>61</v>
      </c>
      <c r="C237" s="643" t="e">
        <f t="shared" ref="C237:J237" si="83">SUM(C234:C236)</f>
        <v>#DIV/0!</v>
      </c>
      <c r="D237" s="643"/>
      <c r="E237" s="643" t="e">
        <f t="shared" si="83"/>
        <v>#DIV/0!</v>
      </c>
      <c r="F237" s="643" t="e">
        <f t="shared" si="83"/>
        <v>#DIV/0!</v>
      </c>
      <c r="G237" s="643" t="e">
        <f t="shared" si="83"/>
        <v>#DIV/0!</v>
      </c>
      <c r="H237" s="643" t="e">
        <f t="shared" si="83"/>
        <v>#DIV/0!</v>
      </c>
      <c r="I237" s="643" t="e">
        <f t="shared" si="83"/>
        <v>#DIV/0!</v>
      </c>
      <c r="J237" s="643" t="e">
        <f t="shared" si="83"/>
        <v>#DIV/0!</v>
      </c>
    </row>
    <row r="238" spans="1:10">
      <c r="B238" s="639"/>
    </row>
  </sheetData>
  <mergeCells count="12">
    <mergeCell ref="B16:J16"/>
    <mergeCell ref="A3:J3"/>
    <mergeCell ref="A4:J4"/>
    <mergeCell ref="A5:J5"/>
    <mergeCell ref="A90:J90"/>
    <mergeCell ref="A179:J179"/>
    <mergeCell ref="B190:J190"/>
    <mergeCell ref="A91:J91"/>
    <mergeCell ref="A92:J92"/>
    <mergeCell ref="B103:J103"/>
    <mergeCell ref="A177:J177"/>
    <mergeCell ref="A178:J178"/>
  </mergeCells>
  <phoneticPr fontId="111" type="noConversion"/>
  <pageMargins left="0.5" right="0.5" top="1" bottom="1" header="0.5" footer="0.5"/>
  <pageSetup scale="51" fitToHeight="0" orientation="portrait" r:id="rId1"/>
  <headerFooter alignWithMargins="0">
    <oddHeader>&amp;RFormula Rate 
&amp;A
Page &amp;P of &amp;N</oddHeader>
  </headerFooter>
  <rowBreaks count="2" manualBreakCount="2">
    <brk id="89" max="9" man="1"/>
    <brk id="176" max="9" man="1"/>
  </rowBreaks>
  <ignoredErrors>
    <ignoredError sqref="J60" unlocked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L57"/>
  <sheetViews>
    <sheetView view="pageBreakPreview" zoomScale="60" zoomScaleNormal="100" workbookViewId="0">
      <selection activeCell="W26" sqref="W26"/>
    </sheetView>
  </sheetViews>
  <sheetFormatPr defaultColWidth="8.85546875" defaultRowHeight="12.75"/>
  <cols>
    <col min="2" max="2" width="27.5703125" customWidth="1"/>
    <col min="3" max="3" width="10.5703125" customWidth="1"/>
    <col min="5" max="5" width="22" customWidth="1"/>
    <col min="7" max="7" width="12.7109375" customWidth="1"/>
    <col min="9" max="9" width="18.28515625" customWidth="1"/>
    <col min="10" max="10" width="17" customWidth="1"/>
    <col min="11" max="11" width="5.5703125" customWidth="1"/>
    <col min="12" max="12" width="18.7109375" customWidth="1"/>
  </cols>
  <sheetData>
    <row r="1" spans="2:12" ht="15.75">
      <c r="B1" s="1207" t="s">
        <v>825</v>
      </c>
      <c r="C1" s="1207"/>
      <c r="D1" s="1207"/>
      <c r="E1" s="1207"/>
      <c r="F1" s="1207"/>
      <c r="G1" s="1207"/>
      <c r="H1" s="1207"/>
      <c r="I1" s="1207"/>
      <c r="J1" s="1207"/>
      <c r="K1" s="1207"/>
      <c r="L1" s="1207"/>
    </row>
    <row r="2" spans="2:12" ht="15.75">
      <c r="B2" s="1208" t="s">
        <v>555</v>
      </c>
      <c r="C2" s="1208"/>
      <c r="D2" s="1208"/>
      <c r="E2" s="1208"/>
      <c r="F2" s="1208"/>
      <c r="G2" s="1208"/>
      <c r="H2" s="1208"/>
      <c r="I2" s="1208"/>
      <c r="J2" s="1208"/>
      <c r="K2" s="1208"/>
      <c r="L2" s="1208"/>
    </row>
    <row r="3" spans="2:12" ht="15.75">
      <c r="B3" s="1208" t="s">
        <v>585</v>
      </c>
      <c r="C3" s="1208"/>
      <c r="D3" s="1208"/>
      <c r="E3" s="1208"/>
      <c r="F3" s="1208"/>
      <c r="G3" s="1208"/>
      <c r="H3" s="1208"/>
      <c r="I3" s="1208"/>
      <c r="J3" s="1208"/>
      <c r="K3" s="1208"/>
      <c r="L3" s="1208"/>
    </row>
    <row r="4" spans="2:12" ht="15.75">
      <c r="B4" s="132"/>
      <c r="C4" s="132"/>
      <c r="D4" s="132"/>
      <c r="E4" s="1208"/>
      <c r="F4" s="1208"/>
      <c r="G4" s="1208"/>
      <c r="H4" s="1208"/>
      <c r="I4" s="132"/>
      <c r="J4" s="132"/>
      <c r="K4" s="132"/>
      <c r="L4" s="132"/>
    </row>
    <row r="7" spans="2:12" ht="16.5" thickBot="1">
      <c r="B7" s="649"/>
      <c r="C7" s="650"/>
      <c r="D7" s="650"/>
      <c r="E7" s="650"/>
      <c r="F7" s="650"/>
      <c r="G7" s="650"/>
      <c r="H7" s="650"/>
      <c r="I7" s="650"/>
      <c r="J7" s="650"/>
      <c r="K7" s="650"/>
      <c r="L7" s="650"/>
    </row>
    <row r="8" spans="2:12" ht="47.25">
      <c r="B8" s="651" t="str">
        <f>"Reconciliation Revenue Requirement For Year 2024 Available May 25, 2025"</f>
        <v>Reconciliation Revenue Requirement For Year 2024 Available May 25, 2025</v>
      </c>
      <c r="C8" s="650"/>
      <c r="D8" s="650"/>
      <c r="E8" s="651" t="s">
        <v>1003</v>
      </c>
      <c r="F8" s="650"/>
      <c r="G8" s="650"/>
      <c r="H8" s="132"/>
      <c r="I8" s="651" t="s">
        <v>557</v>
      </c>
      <c r="J8" s="132"/>
      <c r="K8" s="132"/>
      <c r="L8" s="132"/>
    </row>
    <row r="9" spans="2:12" ht="15.75">
      <c r="B9" s="652" t="s">
        <v>406</v>
      </c>
      <c r="C9" s="650"/>
      <c r="D9" s="650"/>
      <c r="E9" s="652"/>
      <c r="F9" s="650"/>
      <c r="G9" s="650"/>
      <c r="H9" s="132"/>
      <c r="I9" s="653"/>
      <c r="J9" s="132"/>
      <c r="K9" s="132"/>
      <c r="L9" s="132"/>
    </row>
    <row r="10" spans="2:12" ht="16.5" thickBot="1">
      <c r="B10" s="648">
        <v>822300956.85734832</v>
      </c>
      <c r="C10" s="654" t="str">
        <f>"-"</f>
        <v>-</v>
      </c>
      <c r="D10" s="655"/>
      <c r="E10" s="648">
        <v>834555536.80030894</v>
      </c>
      <c r="F10" s="656"/>
      <c r="G10" s="657" t="str">
        <f>"="</f>
        <v>=</v>
      </c>
      <c r="H10" s="658"/>
      <c r="I10" s="659">
        <f>IF(B10=0,0,E10-B10)</f>
        <v>12254579.94296062</v>
      </c>
      <c r="J10" s="132"/>
      <c r="K10" s="132"/>
      <c r="L10" s="132"/>
    </row>
    <row r="11" spans="2:12" ht="15.75">
      <c r="B11" s="660"/>
      <c r="C11" s="661"/>
      <c r="D11" s="661"/>
      <c r="E11" s="660"/>
      <c r="F11" s="660"/>
      <c r="G11" s="661"/>
      <c r="H11" s="660"/>
      <c r="I11" s="132"/>
      <c r="J11" s="132"/>
      <c r="K11" s="132"/>
      <c r="L11" s="132"/>
    </row>
    <row r="12" spans="2:12" ht="16.5" thickBot="1">
      <c r="B12" s="662"/>
      <c r="C12" s="663"/>
      <c r="D12" s="663"/>
      <c r="E12" s="662"/>
      <c r="F12" s="662"/>
      <c r="G12" s="663"/>
      <c r="H12" s="662"/>
      <c r="I12" s="664"/>
      <c r="J12" s="664"/>
      <c r="K12" s="664"/>
      <c r="L12" s="664"/>
    </row>
    <row r="13" spans="2:12" ht="15.75">
      <c r="B13" s="665"/>
      <c r="C13" s="661"/>
      <c r="D13" s="661"/>
      <c r="E13" s="660"/>
      <c r="F13" s="660"/>
      <c r="G13" s="661"/>
      <c r="H13" s="660"/>
      <c r="I13" s="132"/>
      <c r="J13" s="132"/>
      <c r="K13" s="132"/>
      <c r="L13" s="132"/>
    </row>
    <row r="14" spans="2:12" ht="47.25">
      <c r="B14" s="666" t="s">
        <v>615</v>
      </c>
      <c r="C14" s="661"/>
      <c r="D14" s="661"/>
      <c r="E14" s="667" t="s">
        <v>558</v>
      </c>
      <c r="F14" s="660"/>
      <c r="G14" s="667" t="s">
        <v>559</v>
      </c>
      <c r="H14" s="668" t="s">
        <v>560</v>
      </c>
      <c r="I14" s="669" t="s">
        <v>561</v>
      </c>
      <c r="J14" s="667" t="s">
        <v>562</v>
      </c>
      <c r="K14" s="670"/>
      <c r="L14" s="667" t="s">
        <v>563</v>
      </c>
    </row>
    <row r="15" spans="2:12" ht="15.75">
      <c r="B15" s="666" t="s">
        <v>616</v>
      </c>
      <c r="C15" s="661"/>
      <c r="D15" s="661"/>
      <c r="E15" s="132"/>
      <c r="F15" s="671"/>
      <c r="G15" s="684">
        <v>6.8300000000000001E-3</v>
      </c>
      <c r="I15" s="132"/>
      <c r="J15" s="132"/>
      <c r="K15" s="132"/>
      <c r="L15" s="132"/>
    </row>
    <row r="16" spans="2:12" ht="15.75">
      <c r="B16" s="666"/>
      <c r="C16" s="661"/>
      <c r="D16" s="661"/>
      <c r="E16" s="132"/>
      <c r="F16" s="671"/>
      <c r="G16" s="671"/>
      <c r="H16" s="660"/>
      <c r="I16" s="132"/>
      <c r="J16" s="132"/>
      <c r="K16" s="132"/>
      <c r="L16" s="132"/>
    </row>
    <row r="17" spans="2:12" ht="15.75">
      <c r="B17" s="666" t="s">
        <v>1002</v>
      </c>
      <c r="C17" s="661"/>
      <c r="D17" s="661"/>
      <c r="E17" s="132"/>
      <c r="F17" s="671"/>
      <c r="G17" s="671"/>
      <c r="H17" s="660"/>
      <c r="I17" s="132"/>
      <c r="J17" s="132"/>
      <c r="K17" s="132"/>
      <c r="L17" s="132"/>
    </row>
    <row r="18" spans="2:12" ht="15.75">
      <c r="B18" s="672" t="s">
        <v>406</v>
      </c>
      <c r="C18" s="661"/>
      <c r="D18" s="661"/>
      <c r="E18" s="661"/>
      <c r="F18" s="661"/>
      <c r="G18" s="661" t="s">
        <v>406</v>
      </c>
      <c r="H18" s="132"/>
      <c r="I18" s="132"/>
      <c r="J18" s="132"/>
      <c r="K18" s="132"/>
      <c r="L18" s="132"/>
    </row>
    <row r="19" spans="2:12" ht="15.75">
      <c r="B19" s="673"/>
      <c r="C19" s="661"/>
      <c r="D19" s="661"/>
      <c r="E19" s="661"/>
      <c r="F19" s="661"/>
      <c r="G19" s="132"/>
      <c r="H19" s="132"/>
      <c r="I19" s="668"/>
      <c r="J19" s="661"/>
      <c r="K19" s="661"/>
      <c r="L19" s="661"/>
    </row>
    <row r="20" spans="2:12" ht="15.75">
      <c r="B20" s="673" t="s">
        <v>564</v>
      </c>
      <c r="C20" s="661"/>
      <c r="D20" s="661"/>
      <c r="E20" s="661"/>
      <c r="F20" s="661"/>
      <c r="G20" s="132"/>
      <c r="H20" s="132"/>
      <c r="I20" s="668" t="s">
        <v>565</v>
      </c>
      <c r="J20" s="661"/>
      <c r="K20" s="661"/>
      <c r="L20" s="661"/>
    </row>
    <row r="21" spans="2:12" ht="15.75">
      <c r="B21" s="650" t="s">
        <v>566</v>
      </c>
      <c r="C21" s="650" t="str">
        <f>"Year "&amp;TCOS!L4-2</f>
        <v>Year 2024</v>
      </c>
      <c r="D21" s="650"/>
      <c r="E21" s="674">
        <f>I10/12</f>
        <v>1021214.9952467183</v>
      </c>
      <c r="F21" s="674"/>
      <c r="G21" s="675">
        <f>G15</f>
        <v>6.8300000000000001E-3</v>
      </c>
      <c r="H21" s="661">
        <v>12</v>
      </c>
      <c r="I21" s="674">
        <f>G21*E21*H21*-1</f>
        <v>-83698.781010421037</v>
      </c>
      <c r="J21" s="674"/>
      <c r="K21" s="674"/>
      <c r="L21" s="674">
        <f>(-I21+E21)*-1</f>
        <v>-1104913.7762571394</v>
      </c>
    </row>
    <row r="22" spans="2:12" ht="15.75">
      <c r="B22" s="650" t="s">
        <v>567</v>
      </c>
      <c r="C22" s="650" t="str">
        <f>C21</f>
        <v>Year 2024</v>
      </c>
      <c r="D22" s="650"/>
      <c r="E22" s="674">
        <f>+E21</f>
        <v>1021214.9952467183</v>
      </c>
      <c r="F22" s="674"/>
      <c r="G22" s="675">
        <f t="shared" ref="G22:G32" si="0">+G21</f>
        <v>6.8300000000000001E-3</v>
      </c>
      <c r="H22" s="661">
        <f t="shared" ref="H22:H32" si="1">+H21-1</f>
        <v>11</v>
      </c>
      <c r="I22" s="674">
        <f t="shared" ref="I22:I32" si="2">G22*E22*H22*-1</f>
        <v>-76723.882592885944</v>
      </c>
      <c r="J22" s="674"/>
      <c r="K22" s="674"/>
      <c r="L22" s="674">
        <f t="shared" ref="L22:L32" si="3">(-I22+E22)*-1</f>
        <v>-1097938.8778396042</v>
      </c>
    </row>
    <row r="23" spans="2:12" ht="15.75">
      <c r="B23" s="650" t="s">
        <v>568</v>
      </c>
      <c r="C23" s="650" t="str">
        <f>C21</f>
        <v>Year 2024</v>
      </c>
      <c r="D23" s="650"/>
      <c r="E23" s="674">
        <f t="shared" ref="E23:E32" si="4">+E22</f>
        <v>1021214.9952467183</v>
      </c>
      <c r="F23" s="674"/>
      <c r="G23" s="675">
        <f t="shared" si="0"/>
        <v>6.8300000000000001E-3</v>
      </c>
      <c r="H23" s="661">
        <f t="shared" si="1"/>
        <v>10</v>
      </c>
      <c r="I23" s="674">
        <f t="shared" si="2"/>
        <v>-69748.984175350866</v>
      </c>
      <c r="J23" s="674"/>
      <c r="K23" s="674"/>
      <c r="L23" s="674">
        <f t="shared" si="3"/>
        <v>-1090963.9794220692</v>
      </c>
    </row>
    <row r="24" spans="2:12" ht="15.75">
      <c r="B24" s="650" t="s">
        <v>569</v>
      </c>
      <c r="C24" s="650" t="str">
        <f>C21</f>
        <v>Year 2024</v>
      </c>
      <c r="D24" s="650"/>
      <c r="E24" s="674">
        <f t="shared" si="4"/>
        <v>1021214.9952467183</v>
      </c>
      <c r="F24" s="674"/>
      <c r="G24" s="675">
        <f t="shared" si="0"/>
        <v>6.8300000000000001E-3</v>
      </c>
      <c r="H24" s="661">
        <f t="shared" si="1"/>
        <v>9</v>
      </c>
      <c r="I24" s="674">
        <f t="shared" si="2"/>
        <v>-62774.085757815774</v>
      </c>
      <c r="J24" s="674"/>
      <c r="K24" s="674"/>
      <c r="L24" s="674">
        <f t="shared" si="3"/>
        <v>-1083989.0810045341</v>
      </c>
    </row>
    <row r="25" spans="2:12" ht="15.75">
      <c r="B25" s="650" t="s">
        <v>570</v>
      </c>
      <c r="C25" s="650" t="str">
        <f>C21</f>
        <v>Year 2024</v>
      </c>
      <c r="D25" s="650"/>
      <c r="E25" s="674">
        <f t="shared" si="4"/>
        <v>1021214.9952467183</v>
      </c>
      <c r="F25" s="674"/>
      <c r="G25" s="675">
        <f t="shared" si="0"/>
        <v>6.8300000000000001E-3</v>
      </c>
      <c r="H25" s="661">
        <f t="shared" si="1"/>
        <v>8</v>
      </c>
      <c r="I25" s="674">
        <f t="shared" si="2"/>
        <v>-55799.187340280689</v>
      </c>
      <c r="J25" s="674"/>
      <c r="K25" s="674"/>
      <c r="L25" s="674">
        <f t="shared" si="3"/>
        <v>-1077014.1825869989</v>
      </c>
    </row>
    <row r="26" spans="2:12" ht="15.75">
      <c r="B26" s="650" t="s">
        <v>571</v>
      </c>
      <c r="C26" s="650" t="str">
        <f>C21</f>
        <v>Year 2024</v>
      </c>
      <c r="D26" s="650"/>
      <c r="E26" s="674">
        <f t="shared" si="4"/>
        <v>1021214.9952467183</v>
      </c>
      <c r="F26" s="674"/>
      <c r="G26" s="675">
        <f t="shared" si="0"/>
        <v>6.8300000000000001E-3</v>
      </c>
      <c r="H26" s="661">
        <f t="shared" si="1"/>
        <v>7</v>
      </c>
      <c r="I26" s="674">
        <f t="shared" si="2"/>
        <v>-48824.288922745603</v>
      </c>
      <c r="J26" s="674"/>
      <c r="K26" s="674"/>
      <c r="L26" s="674">
        <f t="shared" si="3"/>
        <v>-1070039.2841694639</v>
      </c>
    </row>
    <row r="27" spans="2:12" ht="15.75">
      <c r="B27" s="650" t="s">
        <v>572</v>
      </c>
      <c r="C27" s="650" t="str">
        <f>C21</f>
        <v>Year 2024</v>
      </c>
      <c r="D27" s="650"/>
      <c r="E27" s="674">
        <f t="shared" si="4"/>
        <v>1021214.9952467183</v>
      </c>
      <c r="F27" s="674"/>
      <c r="G27" s="675">
        <f t="shared" si="0"/>
        <v>6.8300000000000001E-3</v>
      </c>
      <c r="H27" s="661">
        <f t="shared" si="1"/>
        <v>6</v>
      </c>
      <c r="I27" s="674">
        <f t="shared" si="2"/>
        <v>-41849.390505210518</v>
      </c>
      <c r="J27" s="674"/>
      <c r="K27" s="674"/>
      <c r="L27" s="674">
        <f t="shared" si="3"/>
        <v>-1063064.3857519289</v>
      </c>
    </row>
    <row r="28" spans="2:12" ht="15.75">
      <c r="B28" s="650" t="s">
        <v>573</v>
      </c>
      <c r="C28" s="650" t="str">
        <f>C21</f>
        <v>Year 2024</v>
      </c>
      <c r="D28" s="650"/>
      <c r="E28" s="674">
        <f t="shared" si="4"/>
        <v>1021214.9952467183</v>
      </c>
      <c r="F28" s="674"/>
      <c r="G28" s="675">
        <f t="shared" si="0"/>
        <v>6.8300000000000001E-3</v>
      </c>
      <c r="H28" s="661">
        <f t="shared" si="1"/>
        <v>5</v>
      </c>
      <c r="I28" s="674">
        <f t="shared" si="2"/>
        <v>-34874.492087675433</v>
      </c>
      <c r="J28" s="674"/>
      <c r="K28" s="674"/>
      <c r="L28" s="674">
        <f t="shared" si="3"/>
        <v>-1056089.4873343937</v>
      </c>
    </row>
    <row r="29" spans="2:12" ht="15.75">
      <c r="B29" s="650" t="s">
        <v>574</v>
      </c>
      <c r="C29" s="650" t="str">
        <f>C21</f>
        <v>Year 2024</v>
      </c>
      <c r="D29" s="650"/>
      <c r="E29" s="674">
        <f t="shared" si="4"/>
        <v>1021214.9952467183</v>
      </c>
      <c r="F29" s="674"/>
      <c r="G29" s="675">
        <f t="shared" si="0"/>
        <v>6.8300000000000001E-3</v>
      </c>
      <c r="H29" s="661">
        <f t="shared" si="1"/>
        <v>4</v>
      </c>
      <c r="I29" s="674">
        <f t="shared" si="2"/>
        <v>-27899.593670140344</v>
      </c>
      <c r="J29" s="674"/>
      <c r="K29" s="674"/>
      <c r="L29" s="674">
        <f t="shared" si="3"/>
        <v>-1049114.5889168587</v>
      </c>
    </row>
    <row r="30" spans="2:12" ht="15.75">
      <c r="B30" s="650" t="s">
        <v>575</v>
      </c>
      <c r="C30" s="650" t="str">
        <f>C21</f>
        <v>Year 2024</v>
      </c>
      <c r="D30" s="650"/>
      <c r="E30" s="674">
        <f t="shared" si="4"/>
        <v>1021214.9952467183</v>
      </c>
      <c r="F30" s="674"/>
      <c r="G30" s="675">
        <f t="shared" si="0"/>
        <v>6.8300000000000001E-3</v>
      </c>
      <c r="H30" s="661">
        <f t="shared" si="1"/>
        <v>3</v>
      </c>
      <c r="I30" s="674">
        <f t="shared" si="2"/>
        <v>-20924.695252605259</v>
      </c>
      <c r="J30" s="674"/>
      <c r="K30" s="674"/>
      <c r="L30" s="674">
        <f t="shared" si="3"/>
        <v>-1042139.6904993235</v>
      </c>
    </row>
    <row r="31" spans="2:12" ht="15.75">
      <c r="B31" s="650" t="s">
        <v>576</v>
      </c>
      <c r="C31" s="650" t="str">
        <f>C21</f>
        <v>Year 2024</v>
      </c>
      <c r="D31" s="650"/>
      <c r="E31" s="674">
        <f t="shared" si="4"/>
        <v>1021214.9952467183</v>
      </c>
      <c r="F31" s="674"/>
      <c r="G31" s="675">
        <f t="shared" si="0"/>
        <v>6.8300000000000001E-3</v>
      </c>
      <c r="H31" s="661">
        <f t="shared" si="1"/>
        <v>2</v>
      </c>
      <c r="I31" s="674">
        <f t="shared" si="2"/>
        <v>-13949.796835070172</v>
      </c>
      <c r="J31" s="674"/>
      <c r="K31" s="674"/>
      <c r="L31" s="674">
        <f t="shared" si="3"/>
        <v>-1035164.7920817884</v>
      </c>
    </row>
    <row r="32" spans="2:12" ht="15.75">
      <c r="B32" s="650" t="s">
        <v>577</v>
      </c>
      <c r="C32" s="650" t="str">
        <f>C21</f>
        <v>Year 2024</v>
      </c>
      <c r="D32" s="650"/>
      <c r="E32" s="674">
        <f t="shared" si="4"/>
        <v>1021214.9952467183</v>
      </c>
      <c r="F32" s="674"/>
      <c r="G32" s="675">
        <f t="shared" si="0"/>
        <v>6.8300000000000001E-3</v>
      </c>
      <c r="H32" s="661">
        <f t="shared" si="1"/>
        <v>1</v>
      </c>
      <c r="I32" s="676">
        <f t="shared" si="2"/>
        <v>-6974.8984175350861</v>
      </c>
      <c r="J32" s="674"/>
      <c r="K32" s="674"/>
      <c r="L32" s="674">
        <f t="shared" si="3"/>
        <v>-1028189.8936642534</v>
      </c>
    </row>
    <row r="33" spans="2:12" ht="15.75">
      <c r="B33" s="650"/>
      <c r="C33" s="650"/>
      <c r="D33" s="650"/>
      <c r="E33" s="674"/>
      <c r="F33" s="674"/>
      <c r="G33" s="675"/>
      <c r="H33" s="661"/>
      <c r="I33" s="674">
        <f>SUM(I21:I32)</f>
        <v>-544042.07656773669</v>
      </c>
      <c r="J33" s="674"/>
      <c r="K33" s="674"/>
      <c r="L33" s="677">
        <f>SUM(L21:L32)</f>
        <v>-12798622.019528357</v>
      </c>
    </row>
    <row r="34" spans="2:12" ht="15.75">
      <c r="B34" s="650"/>
      <c r="C34" s="650"/>
      <c r="D34" s="650"/>
      <c r="E34" s="674"/>
      <c r="F34" s="674"/>
      <c r="G34" s="675"/>
      <c r="H34" s="661"/>
      <c r="I34" s="674"/>
      <c r="J34" s="674" t="s">
        <v>406</v>
      </c>
      <c r="K34" s="674"/>
      <c r="L34" s="132"/>
    </row>
    <row r="35" spans="2:12" ht="15.75">
      <c r="B35" s="650"/>
      <c r="C35" s="650"/>
      <c r="D35" s="650"/>
      <c r="E35" s="660"/>
      <c r="F35" s="660"/>
      <c r="G35" s="675"/>
      <c r="H35" s="661"/>
      <c r="I35" s="678" t="s">
        <v>578</v>
      </c>
      <c r="J35" s="674"/>
      <c r="K35" s="674"/>
      <c r="L35" s="674"/>
    </row>
    <row r="36" spans="2:12" ht="15.75">
      <c r="B36" s="650" t="s">
        <v>579</v>
      </c>
      <c r="C36" s="650" t="str">
        <f>"Year "&amp;TCOS!L4-1</f>
        <v>Year 2025</v>
      </c>
      <c r="D36" s="650"/>
      <c r="E36" s="660">
        <f>L33</f>
        <v>-12798622.019528357</v>
      </c>
      <c r="F36" s="660"/>
      <c r="G36" s="675">
        <f>G32</f>
        <v>6.8300000000000001E-3</v>
      </c>
      <c r="H36" s="661">
        <v>12</v>
      </c>
      <c r="I36" s="674">
        <f>+H36*G36*E36</f>
        <v>-1048975.0607205443</v>
      </c>
      <c r="J36" s="674"/>
      <c r="K36" s="674"/>
      <c r="L36" s="677">
        <f>+E36+I36</f>
        <v>-13847597.080248902</v>
      </c>
    </row>
    <row r="37" spans="2:12" ht="15.75">
      <c r="B37" s="650"/>
      <c r="C37" s="650"/>
      <c r="D37" s="650"/>
      <c r="E37" s="660"/>
      <c r="F37" s="660"/>
      <c r="G37" s="675"/>
      <c r="H37" s="661"/>
      <c r="I37" s="674"/>
      <c r="J37" s="674"/>
      <c r="K37" s="674"/>
      <c r="L37" s="674"/>
    </row>
    <row r="38" spans="2:12" ht="15.75">
      <c r="B38" s="679" t="s">
        <v>580</v>
      </c>
      <c r="C38" s="650"/>
      <c r="D38" s="650"/>
      <c r="E38" s="674"/>
      <c r="F38" s="674"/>
      <c r="G38" s="675"/>
      <c r="H38" s="661"/>
      <c r="I38" s="678" t="s">
        <v>565</v>
      </c>
      <c r="J38" s="674"/>
      <c r="K38" s="674"/>
      <c r="L38" s="674"/>
    </row>
    <row r="39" spans="2:12" ht="15.75">
      <c r="B39" s="650" t="s">
        <v>566</v>
      </c>
      <c r="C39" s="650" t="str">
        <f>"Year "&amp;TCOS!L4</f>
        <v>Year 2026</v>
      </c>
      <c r="D39" s="650"/>
      <c r="E39" s="680">
        <f>-L36</f>
        <v>13847597.080248902</v>
      </c>
      <c r="F39" s="660"/>
      <c r="G39" s="675">
        <f>G15</f>
        <v>6.8300000000000001E-3</v>
      </c>
      <c r="H39" s="661"/>
      <c r="I39" s="674">
        <f xml:space="preserve"> -G39*E39</f>
        <v>-94579.088058099995</v>
      </c>
      <c r="J39" s="674">
        <f>PMT(G39,12,L$36)</f>
        <v>1205835.9996182208</v>
      </c>
      <c r="K39" s="674"/>
      <c r="L39" s="674">
        <f>(+E39+E39*G39-J39)*-1</f>
        <v>-12736340.16868878</v>
      </c>
    </row>
    <row r="40" spans="2:12" ht="15.75">
      <c r="B40" s="650" t="s">
        <v>567</v>
      </c>
      <c r="C40" s="650" t="str">
        <f>+C39</f>
        <v>Year 2026</v>
      </c>
      <c r="D40" s="650"/>
      <c r="E40" s="660">
        <f>-L39</f>
        <v>12736340.16868878</v>
      </c>
      <c r="F40" s="660"/>
      <c r="G40" s="675">
        <f>+G39</f>
        <v>6.8300000000000001E-3</v>
      </c>
      <c r="H40" s="661"/>
      <c r="I40" s="674">
        <f xml:space="preserve"> -G40*E40</f>
        <v>-86989.203352144366</v>
      </c>
      <c r="J40" s="674">
        <f>J39</f>
        <v>1205835.9996182208</v>
      </c>
      <c r="K40" s="674"/>
      <c r="L40" s="674">
        <f t="shared" ref="L40:L50" si="5">(+E40+E40*G40-J40)*-1</f>
        <v>-11617493.372422703</v>
      </c>
    </row>
    <row r="41" spans="2:12" ht="15.75">
      <c r="B41" s="650" t="s">
        <v>568</v>
      </c>
      <c r="C41" s="650" t="str">
        <f>+C40</f>
        <v>Year 2026</v>
      </c>
      <c r="D41" s="650"/>
      <c r="E41" s="660">
        <f t="shared" ref="E41:E50" si="6">-L40</f>
        <v>11617493.372422703</v>
      </c>
      <c r="F41" s="660"/>
      <c r="G41" s="675">
        <f t="shared" ref="G41:G50" si="7">+G40</f>
        <v>6.8300000000000001E-3</v>
      </c>
      <c r="H41" s="661"/>
      <c r="I41" s="674">
        <f t="shared" ref="I41:I50" si="8" xml:space="preserve"> -G41*E41</f>
        <v>-79347.479733647066</v>
      </c>
      <c r="J41" s="674">
        <f t="shared" ref="J41:J50" si="9">J40</f>
        <v>1205835.9996182208</v>
      </c>
      <c r="K41" s="674"/>
      <c r="L41" s="674">
        <f t="shared" si="5"/>
        <v>-10491004.852538129</v>
      </c>
    </row>
    <row r="42" spans="2:12" ht="15.75">
      <c r="B42" s="650" t="s">
        <v>569</v>
      </c>
      <c r="C42" s="650" t="str">
        <f>+C41</f>
        <v>Year 2026</v>
      </c>
      <c r="D42" s="650"/>
      <c r="E42" s="660">
        <f t="shared" si="6"/>
        <v>10491004.852538129</v>
      </c>
      <c r="F42" s="660"/>
      <c r="G42" s="675">
        <f t="shared" si="7"/>
        <v>6.8300000000000001E-3</v>
      </c>
      <c r="H42" s="661"/>
      <c r="I42" s="674">
        <f t="shared" si="8"/>
        <v>-71653.563142835425</v>
      </c>
      <c r="J42" s="674">
        <f t="shared" si="9"/>
        <v>1205835.9996182208</v>
      </c>
      <c r="K42" s="674"/>
      <c r="L42" s="674">
        <f t="shared" si="5"/>
        <v>-9356822.4160627443</v>
      </c>
    </row>
    <row r="43" spans="2:12" ht="15.75">
      <c r="B43" s="650" t="s">
        <v>570</v>
      </c>
      <c r="C43" s="650" t="str">
        <f>+C42</f>
        <v>Year 2026</v>
      </c>
      <c r="D43" s="650"/>
      <c r="E43" s="660">
        <f t="shared" si="6"/>
        <v>9356822.4160627443</v>
      </c>
      <c r="F43" s="660"/>
      <c r="G43" s="675">
        <f t="shared" si="7"/>
        <v>6.8300000000000001E-3</v>
      </c>
      <c r="H43" s="661"/>
      <c r="I43" s="674">
        <f t="shared" si="8"/>
        <v>-63907.097101708547</v>
      </c>
      <c r="J43" s="674">
        <f>J42</f>
        <v>1205835.9996182208</v>
      </c>
      <c r="K43" s="674"/>
      <c r="L43" s="674">
        <f t="shared" si="5"/>
        <v>-8214893.5135462321</v>
      </c>
    </row>
    <row r="44" spans="2:12" ht="15.75">
      <c r="B44" s="650" t="s">
        <v>571</v>
      </c>
      <c r="C44" s="650" t="str">
        <f>C43</f>
        <v>Year 2026</v>
      </c>
      <c r="D44" s="132"/>
      <c r="E44" s="660">
        <f t="shared" si="6"/>
        <v>8214893.5135462321</v>
      </c>
      <c r="F44" s="660"/>
      <c r="G44" s="675">
        <f t="shared" si="7"/>
        <v>6.8300000000000001E-3</v>
      </c>
      <c r="H44" s="661"/>
      <c r="I44" s="674">
        <f t="shared" si="8"/>
        <v>-56107.722697520767</v>
      </c>
      <c r="J44" s="674">
        <f t="shared" si="9"/>
        <v>1205835.9996182208</v>
      </c>
      <c r="K44" s="674"/>
      <c r="L44" s="674">
        <f t="shared" si="5"/>
        <v>-7065165.2366255317</v>
      </c>
    </row>
    <row r="45" spans="2:12" ht="15.75">
      <c r="B45" s="650" t="s">
        <v>572</v>
      </c>
      <c r="C45" s="650" t="str">
        <f t="shared" ref="C45:C50" si="10">+C44</f>
        <v>Year 2026</v>
      </c>
      <c r="D45" s="650"/>
      <c r="E45" s="660">
        <f t="shared" si="6"/>
        <v>7065165.2366255317</v>
      </c>
      <c r="F45" s="660"/>
      <c r="G45" s="675">
        <f t="shared" si="7"/>
        <v>6.8300000000000001E-3</v>
      </c>
      <c r="H45" s="661"/>
      <c r="I45" s="674">
        <f t="shared" si="8"/>
        <v>-48255.078566152384</v>
      </c>
      <c r="J45" s="674">
        <f t="shared" si="9"/>
        <v>1205835.9996182208</v>
      </c>
      <c r="K45" s="674"/>
      <c r="L45" s="674">
        <f t="shared" si="5"/>
        <v>-5907584.3155734632</v>
      </c>
    </row>
    <row r="46" spans="2:12" ht="15.75">
      <c r="B46" s="650" t="s">
        <v>573</v>
      </c>
      <c r="C46" s="650" t="str">
        <f t="shared" si="10"/>
        <v>Year 2026</v>
      </c>
      <c r="D46" s="650"/>
      <c r="E46" s="660">
        <f t="shared" si="6"/>
        <v>5907584.3155734632</v>
      </c>
      <c r="F46" s="660"/>
      <c r="G46" s="675">
        <f t="shared" si="7"/>
        <v>6.8300000000000001E-3</v>
      </c>
      <c r="H46" s="661"/>
      <c r="I46" s="674">
        <f t="shared" si="8"/>
        <v>-40348.800875366753</v>
      </c>
      <c r="J46" s="674">
        <f t="shared" si="9"/>
        <v>1205835.9996182208</v>
      </c>
      <c r="K46" s="674"/>
      <c r="L46" s="674">
        <f t="shared" si="5"/>
        <v>-4742097.1168306088</v>
      </c>
    </row>
    <row r="47" spans="2:12" ht="15.75">
      <c r="B47" s="650" t="s">
        <v>574</v>
      </c>
      <c r="C47" s="650" t="str">
        <f t="shared" si="10"/>
        <v>Year 2026</v>
      </c>
      <c r="D47" s="650"/>
      <c r="E47" s="660">
        <f t="shared" si="6"/>
        <v>4742097.1168306088</v>
      </c>
      <c r="F47" s="660"/>
      <c r="G47" s="675">
        <f t="shared" si="7"/>
        <v>6.8300000000000001E-3</v>
      </c>
      <c r="H47" s="661"/>
      <c r="I47" s="674">
        <f t="shared" si="8"/>
        <v>-32388.523307953059</v>
      </c>
      <c r="J47" s="674">
        <f>J46</f>
        <v>1205835.9996182208</v>
      </c>
      <c r="K47" s="674"/>
      <c r="L47" s="674">
        <f t="shared" si="5"/>
        <v>-3568649.6405203408</v>
      </c>
    </row>
    <row r="48" spans="2:12" ht="15.75">
      <c r="B48" s="650" t="s">
        <v>575</v>
      </c>
      <c r="C48" s="650" t="str">
        <f t="shared" si="10"/>
        <v>Year 2026</v>
      </c>
      <c r="D48" s="650"/>
      <c r="E48" s="660">
        <f t="shared" si="6"/>
        <v>3568649.6405203408</v>
      </c>
      <c r="F48" s="660"/>
      <c r="G48" s="675">
        <f t="shared" si="7"/>
        <v>6.8300000000000001E-3</v>
      </c>
      <c r="H48" s="661"/>
      <c r="I48" s="674">
        <f t="shared" si="8"/>
        <v>-24373.877044753928</v>
      </c>
      <c r="J48" s="674">
        <f t="shared" si="9"/>
        <v>1205835.9996182208</v>
      </c>
      <c r="K48" s="674"/>
      <c r="L48" s="674">
        <f t="shared" si="5"/>
        <v>-2387187.5179468738</v>
      </c>
    </row>
    <row r="49" spans="2:12" ht="15.75">
      <c r="B49" s="650" t="s">
        <v>576</v>
      </c>
      <c r="C49" s="650" t="str">
        <f t="shared" si="10"/>
        <v>Year 2026</v>
      </c>
      <c r="D49" s="650"/>
      <c r="E49" s="660">
        <f t="shared" si="6"/>
        <v>2387187.5179468738</v>
      </c>
      <c r="F49" s="660"/>
      <c r="G49" s="675">
        <f t="shared" si="7"/>
        <v>6.8300000000000001E-3</v>
      </c>
      <c r="H49" s="650"/>
      <c r="I49" s="674">
        <f t="shared" si="8"/>
        <v>-16304.490747577149</v>
      </c>
      <c r="J49" s="674">
        <f t="shared" si="9"/>
        <v>1205835.9996182208</v>
      </c>
      <c r="K49" s="674"/>
      <c r="L49" s="674">
        <f t="shared" si="5"/>
        <v>-1197656.00907623</v>
      </c>
    </row>
    <row r="50" spans="2:12" ht="15.75">
      <c r="B50" s="650" t="s">
        <v>577</v>
      </c>
      <c r="C50" s="650" t="str">
        <f t="shared" si="10"/>
        <v>Year 2026</v>
      </c>
      <c r="D50" s="650"/>
      <c r="E50" s="660">
        <f t="shared" si="6"/>
        <v>1197656.00907623</v>
      </c>
      <c r="F50" s="660"/>
      <c r="G50" s="675">
        <f t="shared" si="7"/>
        <v>6.8300000000000001E-3</v>
      </c>
      <c r="H50" s="650"/>
      <c r="I50" s="676">
        <f t="shared" si="8"/>
        <v>-8179.9905419906509</v>
      </c>
      <c r="J50" s="674">
        <f t="shared" si="9"/>
        <v>1205835.9996182208</v>
      </c>
      <c r="K50" s="674"/>
      <c r="L50" s="674">
        <f t="shared" si="5"/>
        <v>2.3283064365386963E-10</v>
      </c>
    </row>
    <row r="51" spans="2:12" ht="15.75">
      <c r="B51" s="650"/>
      <c r="C51" s="650"/>
      <c r="D51" s="650"/>
      <c r="E51" s="660"/>
      <c r="F51" s="660"/>
      <c r="G51" s="675"/>
      <c r="H51" s="650"/>
      <c r="I51" s="674">
        <f>SUM(I39:I50)</f>
        <v>-622434.91516974999</v>
      </c>
      <c r="J51" s="674"/>
      <c r="K51" s="674"/>
      <c r="L51" s="674"/>
    </row>
    <row r="52" spans="2:12" ht="15">
      <c r="B52" s="132"/>
      <c r="C52" s="132"/>
      <c r="D52" s="132"/>
      <c r="E52" s="132"/>
      <c r="F52" s="132"/>
      <c r="G52" s="132"/>
      <c r="H52" s="132"/>
      <c r="I52" s="132"/>
      <c r="J52" s="681"/>
      <c r="K52" s="132"/>
      <c r="L52" s="132"/>
    </row>
    <row r="53" spans="2:12" ht="15.75">
      <c r="B53" s="650" t="s">
        <v>581</v>
      </c>
      <c r="C53" s="132"/>
      <c r="D53" s="132"/>
      <c r="E53" s="132"/>
      <c r="F53" s="132"/>
      <c r="G53" s="132"/>
      <c r="H53" s="132"/>
      <c r="I53" s="132"/>
      <c r="J53" s="682">
        <f>(SUM(J39:J50)*-1)</f>
        <v>-14470031.995418651</v>
      </c>
      <c r="K53" s="132"/>
      <c r="L53" s="132"/>
    </row>
    <row r="54" spans="2:12" ht="15.75">
      <c r="B54" s="650" t="s">
        <v>582</v>
      </c>
      <c r="C54" s="132"/>
      <c r="D54" s="132"/>
      <c r="E54" s="132"/>
      <c r="F54" s="132"/>
      <c r="G54" s="132"/>
      <c r="H54" s="132"/>
      <c r="I54" s="132"/>
      <c r="J54" s="683">
        <f>+I10</f>
        <v>12254579.94296062</v>
      </c>
      <c r="K54" s="132"/>
      <c r="L54" s="132"/>
    </row>
    <row r="55" spans="2:12" ht="15.75">
      <c r="B55" s="650" t="s">
        <v>583</v>
      </c>
      <c r="C55" s="132"/>
      <c r="D55" s="132"/>
      <c r="E55" s="132"/>
      <c r="F55" s="132"/>
      <c r="G55" s="132"/>
      <c r="H55" s="132"/>
      <c r="I55" s="132"/>
      <c r="J55" s="682">
        <f>(J53+J54)</f>
        <v>-2215452.0524580311</v>
      </c>
      <c r="K55" s="132"/>
      <c r="L55" s="132"/>
    </row>
    <row r="57" spans="2:12" ht="60" customHeight="1">
      <c r="B57" s="1209" t="s">
        <v>584</v>
      </c>
      <c r="C57" s="1209"/>
      <c r="D57" s="1209"/>
      <c r="E57" s="1209"/>
      <c r="F57" s="1209"/>
      <c r="G57" s="1209"/>
      <c r="H57" s="1209"/>
      <c r="I57" s="1209"/>
      <c r="J57" s="1209"/>
      <c r="K57" s="1209"/>
      <c r="L57" s="1209"/>
    </row>
  </sheetData>
  <mergeCells count="5">
    <mergeCell ref="B3:L3"/>
    <mergeCell ref="B1:L1"/>
    <mergeCell ref="B2:L2"/>
    <mergeCell ref="E4:H4"/>
    <mergeCell ref="B57:L57"/>
  </mergeCells>
  <pageMargins left="0.7" right="0.7" top="0.75" bottom="0.75" header="0.3" footer="0.3"/>
  <pageSetup scale="5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B1:L57"/>
  <sheetViews>
    <sheetView view="pageBreakPreview" zoomScale="60" zoomScaleNormal="100" workbookViewId="0">
      <selection activeCell="B10" sqref="B10"/>
    </sheetView>
  </sheetViews>
  <sheetFormatPr defaultRowHeight="12.75"/>
  <cols>
    <col min="2" max="2" width="36" customWidth="1"/>
    <col min="5" max="5" width="27.28515625" customWidth="1"/>
    <col min="7" max="7" width="16.7109375" customWidth="1"/>
    <col min="8" max="8" width="11.7109375" customWidth="1"/>
    <col min="9" max="9" width="27.28515625" customWidth="1"/>
    <col min="10" max="10" width="17.42578125" customWidth="1"/>
    <col min="12" max="12" width="24" customWidth="1"/>
  </cols>
  <sheetData>
    <row r="1" spans="2:12" ht="15.75">
      <c r="B1" s="1207" t="s">
        <v>825</v>
      </c>
      <c r="C1" s="1207"/>
      <c r="D1" s="1207"/>
      <c r="E1" s="1207"/>
      <c r="F1" s="1207"/>
      <c r="G1" s="1207"/>
      <c r="H1" s="1207"/>
      <c r="I1" s="1207"/>
      <c r="J1" s="1207"/>
      <c r="K1" s="1207"/>
      <c r="L1" s="1207"/>
    </row>
    <row r="2" spans="2:12" ht="15.75">
      <c r="B2" s="1208" t="s">
        <v>555</v>
      </c>
      <c r="C2" s="1208"/>
      <c r="D2" s="1208"/>
      <c r="E2" s="1208"/>
      <c r="F2" s="1208"/>
      <c r="G2" s="1208"/>
      <c r="H2" s="1208"/>
      <c r="I2" s="1208"/>
      <c r="J2" s="1208"/>
      <c r="K2" s="1208"/>
      <c r="L2" s="1208"/>
    </row>
    <row r="3" spans="2:12" ht="15.75">
      <c r="B3" s="1208" t="s">
        <v>585</v>
      </c>
      <c r="C3" s="1208"/>
      <c r="D3" s="1208"/>
      <c r="E3" s="1208"/>
      <c r="F3" s="1208"/>
      <c r="G3" s="1208"/>
      <c r="H3" s="1208"/>
      <c r="I3" s="1208"/>
      <c r="J3" s="1208"/>
      <c r="K3" s="1208"/>
      <c r="L3" s="1208"/>
    </row>
    <row r="4" spans="2:12" ht="15.75">
      <c r="B4" s="132"/>
      <c r="C4" s="132"/>
      <c r="D4" s="132"/>
      <c r="E4" s="1208"/>
      <c r="F4" s="1208"/>
      <c r="G4" s="1208"/>
      <c r="H4" s="1208"/>
      <c r="I4" s="132"/>
      <c r="J4" s="132"/>
      <c r="K4" s="132"/>
      <c r="L4" s="132"/>
    </row>
    <row r="7" spans="2:12" ht="16.5" thickBot="1">
      <c r="B7" s="649"/>
      <c r="C7" s="650"/>
      <c r="D7" s="650"/>
      <c r="E7" s="650"/>
      <c r="F7" s="650"/>
      <c r="G7" s="650"/>
      <c r="H7" s="650"/>
      <c r="I7" s="650"/>
      <c r="J7" s="650"/>
      <c r="K7" s="650"/>
      <c r="L7" s="650"/>
    </row>
    <row r="8" spans="2:12" ht="45" customHeight="1">
      <c r="B8" s="651" t="str">
        <f>'WS R Interest'!B8</f>
        <v>Reconciliation Revenue Requirement For Year 2024 Available May 25, 2025</v>
      </c>
      <c r="C8" s="650"/>
      <c r="D8" s="650"/>
      <c r="E8" s="651" t="str">
        <f>'WS R Interest'!E8</f>
        <v>2024 Forecasted Revenue Requirement For Year 2024</v>
      </c>
      <c r="F8" s="650"/>
      <c r="G8" s="650"/>
      <c r="H8" s="132"/>
      <c r="I8" s="651" t="s">
        <v>557</v>
      </c>
      <c r="J8" s="132"/>
      <c r="K8" s="132"/>
      <c r="L8" s="132"/>
    </row>
    <row r="9" spans="2:12" ht="15.75">
      <c r="B9" s="652" t="s">
        <v>406</v>
      </c>
      <c r="C9" s="650"/>
      <c r="D9" s="650"/>
      <c r="E9" s="652"/>
      <c r="F9" s="650"/>
      <c r="G9" s="650"/>
      <c r="H9" s="132"/>
      <c r="I9" s="653"/>
      <c r="J9" s="132"/>
      <c r="K9" s="132"/>
      <c r="L9" s="132"/>
    </row>
    <row r="10" spans="2:12" ht="16.5" thickBot="1">
      <c r="B10" s="648">
        <v>41136197.167405218</v>
      </c>
      <c r="C10" s="654" t="str">
        <f>"-"</f>
        <v>-</v>
      </c>
      <c r="D10" s="655"/>
      <c r="E10" s="648">
        <v>42010567.131637082</v>
      </c>
      <c r="F10" s="656"/>
      <c r="G10" s="657" t="str">
        <f>"="</f>
        <v>=</v>
      </c>
      <c r="H10" s="658"/>
      <c r="I10" s="659">
        <f>IF(B10=0,0,E10-B10)</f>
        <v>874369.96423186362</v>
      </c>
      <c r="J10" s="132"/>
      <c r="K10" s="132"/>
      <c r="L10" s="132"/>
    </row>
    <row r="11" spans="2:12" ht="15.75">
      <c r="B11" s="660"/>
      <c r="C11" s="661"/>
      <c r="D11" s="661"/>
      <c r="E11" s="660"/>
      <c r="F11" s="660"/>
      <c r="G11" s="661"/>
      <c r="H11" s="660"/>
      <c r="I11" s="132"/>
      <c r="J11" s="132"/>
      <c r="K11" s="132"/>
      <c r="L11" s="132"/>
    </row>
    <row r="12" spans="2:12" ht="16.5" thickBot="1">
      <c r="B12" s="662"/>
      <c r="C12" s="663"/>
      <c r="D12" s="663"/>
      <c r="E12" s="663"/>
      <c r="F12" s="662"/>
      <c r="G12" s="663"/>
      <c r="H12" s="662"/>
      <c r="I12" s="664"/>
      <c r="J12" s="664"/>
      <c r="K12" s="664"/>
      <c r="L12" s="664"/>
    </row>
    <row r="13" spans="2:12" ht="15.75">
      <c r="B13" s="665"/>
      <c r="C13" s="661"/>
      <c r="D13" s="661"/>
      <c r="E13" s="660"/>
      <c r="F13" s="660"/>
      <c r="G13" s="661"/>
      <c r="H13" s="660"/>
      <c r="I13" s="132"/>
      <c r="J13" s="132"/>
      <c r="K13" s="132"/>
      <c r="L13" s="132"/>
    </row>
    <row r="14" spans="2:12" ht="31.5">
      <c r="B14" s="666" t="s">
        <v>615</v>
      </c>
      <c r="C14" s="661"/>
      <c r="D14" s="661"/>
      <c r="E14" s="667" t="s">
        <v>558</v>
      </c>
      <c r="F14" s="660"/>
      <c r="G14" s="667" t="s">
        <v>559</v>
      </c>
      <c r="H14" s="668" t="s">
        <v>560</v>
      </c>
      <c r="I14" s="669" t="s">
        <v>561</v>
      </c>
      <c r="J14" s="667" t="s">
        <v>562</v>
      </c>
      <c r="K14" s="670"/>
      <c r="L14" s="667" t="s">
        <v>563</v>
      </c>
    </row>
    <row r="15" spans="2:12" ht="15.75">
      <c r="B15" s="666" t="s">
        <v>616</v>
      </c>
      <c r="C15" s="661"/>
      <c r="D15" s="661"/>
      <c r="E15" s="132"/>
      <c r="F15" s="671"/>
      <c r="G15" s="684">
        <v>6.8300000000000001E-3</v>
      </c>
      <c r="I15" s="132"/>
      <c r="J15" s="132"/>
      <c r="K15" s="132"/>
      <c r="L15" s="132"/>
    </row>
    <row r="16" spans="2:12" ht="15.75">
      <c r="B16" s="666"/>
      <c r="C16" s="661"/>
      <c r="D16" s="661"/>
      <c r="E16" s="132"/>
      <c r="F16" s="671"/>
      <c r="G16" s="671"/>
      <c r="H16" s="660"/>
      <c r="I16" s="132"/>
      <c r="J16" s="132"/>
      <c r="K16" s="132"/>
      <c r="L16" s="132"/>
    </row>
    <row r="17" spans="2:12" ht="15.75">
      <c r="B17" s="666" t="str">
        <f>'WS R Interest'!B17</f>
        <v>An over or under collection will be recovered prorata over 2024, held for 2025 and returned prorate over 2026</v>
      </c>
      <c r="C17" s="661"/>
      <c r="D17" s="661"/>
      <c r="E17" s="132"/>
      <c r="F17" s="671"/>
      <c r="G17" s="671"/>
      <c r="H17" s="660"/>
      <c r="I17" s="132"/>
      <c r="J17" s="132"/>
      <c r="K17" s="132"/>
      <c r="L17" s="132"/>
    </row>
    <row r="18" spans="2:12" ht="15.75">
      <c r="B18" s="672" t="s">
        <v>406</v>
      </c>
      <c r="C18" s="661"/>
      <c r="D18" s="661"/>
      <c r="E18" s="661"/>
      <c r="F18" s="661"/>
      <c r="G18" s="661" t="s">
        <v>406</v>
      </c>
      <c r="H18" s="132"/>
      <c r="I18" s="132"/>
      <c r="J18" s="132"/>
      <c r="K18" s="132"/>
      <c r="L18" s="132"/>
    </row>
    <row r="19" spans="2:12" ht="15.75">
      <c r="B19" s="673"/>
      <c r="C19" s="661"/>
      <c r="D19" s="661"/>
      <c r="E19" s="661"/>
      <c r="F19" s="661"/>
      <c r="G19" s="132"/>
      <c r="H19" s="132"/>
      <c r="I19" s="668"/>
      <c r="J19" s="661"/>
      <c r="K19" s="661"/>
      <c r="L19" s="661"/>
    </row>
    <row r="20" spans="2:12" ht="15.75">
      <c r="B20" s="673" t="s">
        <v>564</v>
      </c>
      <c r="C20" s="661"/>
      <c r="D20" s="661"/>
      <c r="E20" s="661"/>
      <c r="F20" s="661"/>
      <c r="G20" s="132"/>
      <c r="H20" s="132"/>
      <c r="I20" s="668" t="s">
        <v>565</v>
      </c>
      <c r="J20" s="661"/>
      <c r="K20" s="661"/>
      <c r="L20" s="661"/>
    </row>
    <row r="21" spans="2:12" ht="15.75">
      <c r="B21" s="650" t="s">
        <v>566</v>
      </c>
      <c r="C21" s="650" t="str">
        <f>"Year "&amp;TCOS!L4-2</f>
        <v>Year 2024</v>
      </c>
      <c r="D21" s="650"/>
      <c r="E21" s="674">
        <f>I10/12</f>
        <v>72864.163685988635</v>
      </c>
      <c r="F21" s="674"/>
      <c r="G21" s="675">
        <f>G15</f>
        <v>6.8300000000000001E-3</v>
      </c>
      <c r="H21" s="661">
        <v>12</v>
      </c>
      <c r="I21" s="674">
        <f>G21*E21*H21*-1</f>
        <v>-5971.9468557036289</v>
      </c>
      <c r="J21" s="674"/>
      <c r="K21" s="674"/>
      <c r="L21" s="674">
        <f>(-I21+E21)*-1</f>
        <v>-78836.110541692266</v>
      </c>
    </row>
    <row r="22" spans="2:12" ht="15.75">
      <c r="B22" s="650" t="s">
        <v>567</v>
      </c>
      <c r="C22" s="650" t="str">
        <f>C21</f>
        <v>Year 2024</v>
      </c>
      <c r="D22" s="650"/>
      <c r="E22" s="674">
        <f>+E21</f>
        <v>72864.163685988635</v>
      </c>
      <c r="F22" s="674"/>
      <c r="G22" s="675">
        <f t="shared" ref="G22:G32" si="0">+G21</f>
        <v>6.8300000000000001E-3</v>
      </c>
      <c r="H22" s="661">
        <f t="shared" ref="H22:H32" si="1">+H21-1</f>
        <v>11</v>
      </c>
      <c r="I22" s="674">
        <f t="shared" ref="I22:I32" si="2">G22*E22*H22*-1</f>
        <v>-5474.2846177283263</v>
      </c>
      <c r="J22" s="674"/>
      <c r="K22" s="674"/>
      <c r="L22" s="674">
        <f t="shared" ref="L22:L32" si="3">(-I22+E22)*-1</f>
        <v>-78338.448303716956</v>
      </c>
    </row>
    <row r="23" spans="2:12" ht="15.75">
      <c r="B23" s="650" t="s">
        <v>568</v>
      </c>
      <c r="C23" s="650" t="str">
        <f>C21</f>
        <v>Year 2024</v>
      </c>
      <c r="D23" s="650"/>
      <c r="E23" s="674">
        <f t="shared" ref="E23:E32" si="4">+E22</f>
        <v>72864.163685988635</v>
      </c>
      <c r="F23" s="674"/>
      <c r="G23" s="675">
        <f t="shared" si="0"/>
        <v>6.8300000000000001E-3</v>
      </c>
      <c r="H23" s="661">
        <f t="shared" si="1"/>
        <v>10</v>
      </c>
      <c r="I23" s="674">
        <f t="shared" si="2"/>
        <v>-4976.6223797530238</v>
      </c>
      <c r="J23" s="674"/>
      <c r="K23" s="674"/>
      <c r="L23" s="674">
        <f t="shared" si="3"/>
        <v>-77840.78606574166</v>
      </c>
    </row>
    <row r="24" spans="2:12" ht="15.75">
      <c r="B24" s="650" t="s">
        <v>569</v>
      </c>
      <c r="C24" s="650" t="str">
        <f>C21</f>
        <v>Year 2024</v>
      </c>
      <c r="D24" s="650"/>
      <c r="E24" s="674">
        <f t="shared" si="4"/>
        <v>72864.163685988635</v>
      </c>
      <c r="F24" s="674"/>
      <c r="G24" s="675">
        <f t="shared" si="0"/>
        <v>6.8300000000000001E-3</v>
      </c>
      <c r="H24" s="661">
        <f t="shared" si="1"/>
        <v>9</v>
      </c>
      <c r="I24" s="674">
        <f t="shared" si="2"/>
        <v>-4478.9601417777212</v>
      </c>
      <c r="J24" s="674"/>
      <c r="K24" s="674"/>
      <c r="L24" s="674">
        <f t="shared" si="3"/>
        <v>-77343.123827766351</v>
      </c>
    </row>
    <row r="25" spans="2:12" ht="15.75">
      <c r="B25" s="650" t="s">
        <v>570</v>
      </c>
      <c r="C25" s="650" t="str">
        <f>C21</f>
        <v>Year 2024</v>
      </c>
      <c r="D25" s="650"/>
      <c r="E25" s="674">
        <f t="shared" si="4"/>
        <v>72864.163685988635</v>
      </c>
      <c r="F25" s="674"/>
      <c r="G25" s="675">
        <f t="shared" si="0"/>
        <v>6.8300000000000001E-3</v>
      </c>
      <c r="H25" s="661">
        <f t="shared" si="1"/>
        <v>8</v>
      </c>
      <c r="I25" s="674">
        <f t="shared" si="2"/>
        <v>-3981.2979038024191</v>
      </c>
      <c r="J25" s="674"/>
      <c r="K25" s="674"/>
      <c r="L25" s="674">
        <f t="shared" si="3"/>
        <v>-76845.461589791055</v>
      </c>
    </row>
    <row r="26" spans="2:12" ht="15.75">
      <c r="B26" s="650" t="s">
        <v>571</v>
      </c>
      <c r="C26" s="650" t="str">
        <f>C21</f>
        <v>Year 2024</v>
      </c>
      <c r="D26" s="650"/>
      <c r="E26" s="674">
        <f t="shared" si="4"/>
        <v>72864.163685988635</v>
      </c>
      <c r="F26" s="674"/>
      <c r="G26" s="675">
        <f t="shared" si="0"/>
        <v>6.8300000000000001E-3</v>
      </c>
      <c r="H26" s="661">
        <f t="shared" si="1"/>
        <v>7</v>
      </c>
      <c r="I26" s="674">
        <f t="shared" si="2"/>
        <v>-3483.6356658271166</v>
      </c>
      <c r="J26" s="674"/>
      <c r="K26" s="674"/>
      <c r="L26" s="674">
        <f t="shared" si="3"/>
        <v>-76347.799351815745</v>
      </c>
    </row>
    <row r="27" spans="2:12" ht="15.75">
      <c r="B27" s="650" t="s">
        <v>572</v>
      </c>
      <c r="C27" s="650" t="str">
        <f>C21</f>
        <v>Year 2024</v>
      </c>
      <c r="D27" s="650"/>
      <c r="E27" s="674">
        <f t="shared" si="4"/>
        <v>72864.163685988635</v>
      </c>
      <c r="F27" s="674"/>
      <c r="G27" s="675">
        <f t="shared" si="0"/>
        <v>6.8300000000000001E-3</v>
      </c>
      <c r="H27" s="661">
        <f t="shared" si="1"/>
        <v>6</v>
      </c>
      <c r="I27" s="674">
        <f t="shared" si="2"/>
        <v>-2985.9734278518144</v>
      </c>
      <c r="J27" s="674"/>
      <c r="K27" s="674"/>
      <c r="L27" s="674">
        <f t="shared" si="3"/>
        <v>-75850.13711384045</v>
      </c>
    </row>
    <row r="28" spans="2:12" ht="15.75">
      <c r="B28" s="650" t="s">
        <v>573</v>
      </c>
      <c r="C28" s="650" t="str">
        <f>C21</f>
        <v>Year 2024</v>
      </c>
      <c r="D28" s="650"/>
      <c r="E28" s="674">
        <f t="shared" si="4"/>
        <v>72864.163685988635</v>
      </c>
      <c r="F28" s="674"/>
      <c r="G28" s="675">
        <f t="shared" si="0"/>
        <v>6.8300000000000001E-3</v>
      </c>
      <c r="H28" s="661">
        <f t="shared" si="1"/>
        <v>5</v>
      </c>
      <c r="I28" s="674">
        <f t="shared" si="2"/>
        <v>-2488.3111898765119</v>
      </c>
      <c r="J28" s="674"/>
      <c r="K28" s="674"/>
      <c r="L28" s="674">
        <f t="shared" si="3"/>
        <v>-75352.47487586514</v>
      </c>
    </row>
    <row r="29" spans="2:12" ht="15.75">
      <c r="B29" s="650" t="s">
        <v>574</v>
      </c>
      <c r="C29" s="650" t="str">
        <f>C21</f>
        <v>Year 2024</v>
      </c>
      <c r="D29" s="650"/>
      <c r="E29" s="674">
        <f t="shared" si="4"/>
        <v>72864.163685988635</v>
      </c>
      <c r="F29" s="674"/>
      <c r="G29" s="675">
        <f t="shared" si="0"/>
        <v>6.8300000000000001E-3</v>
      </c>
      <c r="H29" s="661">
        <f t="shared" si="1"/>
        <v>4</v>
      </c>
      <c r="I29" s="674">
        <f t="shared" si="2"/>
        <v>-1990.6489519012096</v>
      </c>
      <c r="J29" s="674"/>
      <c r="K29" s="674"/>
      <c r="L29" s="674">
        <f t="shared" si="3"/>
        <v>-74854.812637889845</v>
      </c>
    </row>
    <row r="30" spans="2:12" ht="15.75">
      <c r="B30" s="650" t="s">
        <v>575</v>
      </c>
      <c r="C30" s="650" t="str">
        <f>C21</f>
        <v>Year 2024</v>
      </c>
      <c r="D30" s="650"/>
      <c r="E30" s="674">
        <f t="shared" si="4"/>
        <v>72864.163685988635</v>
      </c>
      <c r="F30" s="674"/>
      <c r="G30" s="675">
        <f t="shared" si="0"/>
        <v>6.8300000000000001E-3</v>
      </c>
      <c r="H30" s="661">
        <f t="shared" si="1"/>
        <v>3</v>
      </c>
      <c r="I30" s="674">
        <f t="shared" si="2"/>
        <v>-1492.9867139259072</v>
      </c>
      <c r="J30" s="674"/>
      <c r="K30" s="674"/>
      <c r="L30" s="674">
        <f t="shared" si="3"/>
        <v>-74357.150399914535</v>
      </c>
    </row>
    <row r="31" spans="2:12" ht="15.75">
      <c r="B31" s="650" t="s">
        <v>576</v>
      </c>
      <c r="C31" s="650" t="str">
        <f>C21</f>
        <v>Year 2024</v>
      </c>
      <c r="D31" s="650"/>
      <c r="E31" s="674">
        <f t="shared" si="4"/>
        <v>72864.163685988635</v>
      </c>
      <c r="F31" s="674"/>
      <c r="G31" s="675">
        <f t="shared" si="0"/>
        <v>6.8300000000000001E-3</v>
      </c>
      <c r="H31" s="661">
        <f t="shared" si="1"/>
        <v>2</v>
      </c>
      <c r="I31" s="674">
        <f t="shared" si="2"/>
        <v>-995.32447595060478</v>
      </c>
      <c r="J31" s="674"/>
      <c r="K31" s="674"/>
      <c r="L31" s="674">
        <f t="shared" si="3"/>
        <v>-73859.48816193924</v>
      </c>
    </row>
    <row r="32" spans="2:12" ht="15.75">
      <c r="B32" s="650" t="s">
        <v>577</v>
      </c>
      <c r="C32" s="650" t="str">
        <f>C21</f>
        <v>Year 2024</v>
      </c>
      <c r="D32" s="650"/>
      <c r="E32" s="674">
        <f t="shared" si="4"/>
        <v>72864.163685988635</v>
      </c>
      <c r="F32" s="674"/>
      <c r="G32" s="675">
        <f t="shared" si="0"/>
        <v>6.8300000000000001E-3</v>
      </c>
      <c r="H32" s="661">
        <f t="shared" si="1"/>
        <v>1</v>
      </c>
      <c r="I32" s="676">
        <f t="shared" si="2"/>
        <v>-497.66223797530239</v>
      </c>
      <c r="J32" s="674"/>
      <c r="K32" s="674"/>
      <c r="L32" s="674">
        <f t="shared" si="3"/>
        <v>-73361.82592396393</v>
      </c>
    </row>
    <row r="33" spans="2:12" ht="15.75">
      <c r="B33" s="650"/>
      <c r="C33" s="650"/>
      <c r="D33" s="650"/>
      <c r="E33" s="674"/>
      <c r="F33" s="674"/>
      <c r="G33" s="675"/>
      <c r="H33" s="661"/>
      <c r="I33" s="674">
        <f>SUM(I21:I32)</f>
        <v>-38817.654562073592</v>
      </c>
      <c r="J33" s="674"/>
      <c r="K33" s="674"/>
      <c r="L33" s="677">
        <f>SUM(L21:L32)</f>
        <v>-913187.61879393714</v>
      </c>
    </row>
    <row r="34" spans="2:12" ht="15.75">
      <c r="B34" s="650"/>
      <c r="C34" s="650"/>
      <c r="D34" s="650"/>
      <c r="E34" s="674"/>
      <c r="F34" s="674"/>
      <c r="G34" s="675"/>
      <c r="H34" s="661"/>
      <c r="I34" s="674"/>
      <c r="J34" s="674" t="s">
        <v>406</v>
      </c>
      <c r="K34" s="674"/>
      <c r="L34" s="132"/>
    </row>
    <row r="35" spans="2:12" ht="15.75">
      <c r="B35" s="650"/>
      <c r="C35" s="650"/>
      <c r="D35" s="650"/>
      <c r="E35" s="660"/>
      <c r="F35" s="660"/>
      <c r="G35" s="675"/>
      <c r="H35" s="661"/>
      <c r="I35" s="678" t="s">
        <v>578</v>
      </c>
      <c r="J35" s="674"/>
      <c r="K35" s="674"/>
      <c r="L35" s="674"/>
    </row>
    <row r="36" spans="2:12" ht="15.75">
      <c r="B36" s="650" t="s">
        <v>579</v>
      </c>
      <c r="C36" s="650" t="str">
        <f>"Year "&amp;TCOS!L4-1</f>
        <v>Year 2025</v>
      </c>
      <c r="D36" s="650"/>
      <c r="E36" s="660">
        <f>L33</f>
        <v>-913187.61879393714</v>
      </c>
      <c r="F36" s="660"/>
      <c r="G36" s="675">
        <f>G32</f>
        <v>6.8300000000000001E-3</v>
      </c>
      <c r="H36" s="661">
        <v>12</v>
      </c>
      <c r="I36" s="674">
        <f>+H36*G36*E36</f>
        <v>-74844.85723635109</v>
      </c>
      <c r="J36" s="674"/>
      <c r="K36" s="674"/>
      <c r="L36" s="677">
        <f>+E36+I36</f>
        <v>-988032.47603028826</v>
      </c>
    </row>
    <row r="37" spans="2:12" ht="15.75">
      <c r="B37" s="650"/>
      <c r="C37" s="650"/>
      <c r="D37" s="650"/>
      <c r="E37" s="660"/>
      <c r="F37" s="660"/>
      <c r="G37" s="675"/>
      <c r="H37" s="650"/>
      <c r="I37" s="674"/>
      <c r="J37" s="674"/>
      <c r="K37" s="674"/>
      <c r="L37" s="674"/>
    </row>
    <row r="38" spans="2:12" ht="15.75">
      <c r="B38" s="679" t="s">
        <v>580</v>
      </c>
      <c r="C38" s="650"/>
      <c r="D38" s="650"/>
      <c r="E38" s="674"/>
      <c r="F38" s="674"/>
      <c r="G38" s="675"/>
      <c r="H38" s="650"/>
      <c r="I38" s="678" t="s">
        <v>565</v>
      </c>
      <c r="J38" s="674"/>
      <c r="K38" s="674"/>
      <c r="L38" s="674"/>
    </row>
    <row r="39" spans="2:12" ht="15.75">
      <c r="B39" s="650" t="s">
        <v>566</v>
      </c>
      <c r="C39" s="650" t="str">
        <f>"Year "&amp;TCOS!L4</f>
        <v>Year 2026</v>
      </c>
      <c r="D39" s="650"/>
      <c r="E39" s="680">
        <f>-L36</f>
        <v>988032.47603028826</v>
      </c>
      <c r="F39" s="660"/>
      <c r="G39" s="675">
        <f>G15</f>
        <v>6.8300000000000001E-3</v>
      </c>
      <c r="H39" s="650"/>
      <c r="I39" s="674">
        <f xml:space="preserve"> -G39*E39</f>
        <v>-6748.2618112868686</v>
      </c>
      <c r="J39" s="674">
        <f>PMT(G39,12,L$36)</f>
        <v>86036.957999635386</v>
      </c>
      <c r="K39" s="674"/>
      <c r="L39" s="674">
        <f>(+E39+E39*G39-J39)*-1</f>
        <v>-908743.7798419398</v>
      </c>
    </row>
    <row r="40" spans="2:12" ht="15.75">
      <c r="B40" s="650" t="s">
        <v>567</v>
      </c>
      <c r="C40" s="650" t="str">
        <f>+C39</f>
        <v>Year 2026</v>
      </c>
      <c r="D40" s="650"/>
      <c r="E40" s="660">
        <f>-L39</f>
        <v>908743.7798419398</v>
      </c>
      <c r="F40" s="660"/>
      <c r="G40" s="675">
        <f>+G39</f>
        <v>6.8300000000000001E-3</v>
      </c>
      <c r="H40" s="650"/>
      <c r="I40" s="674">
        <f xml:space="preserve"> -G40*E40</f>
        <v>-6206.7200163204488</v>
      </c>
      <c r="J40" s="674">
        <f>J39</f>
        <v>86036.957999635386</v>
      </c>
      <c r="K40" s="674"/>
      <c r="L40" s="674">
        <f t="shared" ref="L40:L50" si="5">(+E40+E40*G40-J40)*-1</f>
        <v>-828913.5418586249</v>
      </c>
    </row>
    <row r="41" spans="2:12" ht="15.75">
      <c r="B41" s="650" t="s">
        <v>568</v>
      </c>
      <c r="C41" s="650" t="str">
        <f>+C40</f>
        <v>Year 2026</v>
      </c>
      <c r="D41" s="650"/>
      <c r="E41" s="660">
        <f t="shared" ref="E41:E50" si="6">-L40</f>
        <v>828913.5418586249</v>
      </c>
      <c r="F41" s="660"/>
      <c r="G41" s="675">
        <f t="shared" ref="G41:G50" si="7">+G40</f>
        <v>6.8300000000000001E-3</v>
      </c>
      <c r="H41" s="650"/>
      <c r="I41" s="674">
        <f t="shared" ref="I41:I50" si="8" xml:space="preserve"> -G41*E41</f>
        <v>-5661.4794908944086</v>
      </c>
      <c r="J41" s="674">
        <f t="shared" ref="J41:J50" si="9">J40</f>
        <v>86036.957999635386</v>
      </c>
      <c r="K41" s="674"/>
      <c r="L41" s="674">
        <f t="shared" si="5"/>
        <v>-748538.06334988389</v>
      </c>
    </row>
    <row r="42" spans="2:12" ht="15.75">
      <c r="B42" s="650" t="s">
        <v>569</v>
      </c>
      <c r="C42" s="650" t="str">
        <f>+C41</f>
        <v>Year 2026</v>
      </c>
      <c r="D42" s="650"/>
      <c r="E42" s="660">
        <f t="shared" si="6"/>
        <v>748538.06334988389</v>
      </c>
      <c r="F42" s="660"/>
      <c r="G42" s="675">
        <f t="shared" si="7"/>
        <v>6.8300000000000001E-3</v>
      </c>
      <c r="H42" s="650"/>
      <c r="I42" s="674">
        <f t="shared" si="8"/>
        <v>-5112.5149726797072</v>
      </c>
      <c r="J42" s="674">
        <f t="shared" si="9"/>
        <v>86036.957999635386</v>
      </c>
      <c r="K42" s="674"/>
      <c r="L42" s="674">
        <f t="shared" si="5"/>
        <v>-667613.62032292818</v>
      </c>
    </row>
    <row r="43" spans="2:12" ht="15.75">
      <c r="B43" s="650" t="s">
        <v>570</v>
      </c>
      <c r="C43" s="650" t="str">
        <f>+C42</f>
        <v>Year 2026</v>
      </c>
      <c r="D43" s="650"/>
      <c r="E43" s="660">
        <f t="shared" si="6"/>
        <v>667613.62032292818</v>
      </c>
      <c r="F43" s="660"/>
      <c r="G43" s="675">
        <f t="shared" si="7"/>
        <v>6.8300000000000001E-3</v>
      </c>
      <c r="H43" s="650"/>
      <c r="I43" s="674">
        <f t="shared" si="8"/>
        <v>-4559.8010268055996</v>
      </c>
      <c r="J43" s="674">
        <f>J42</f>
        <v>86036.957999635386</v>
      </c>
      <c r="K43" s="674"/>
      <c r="L43" s="674">
        <f t="shared" si="5"/>
        <v>-586136.46335009846</v>
      </c>
    </row>
    <row r="44" spans="2:12" ht="15.75">
      <c r="B44" s="650" t="s">
        <v>571</v>
      </c>
      <c r="C44" s="650" t="str">
        <f>C43</f>
        <v>Year 2026</v>
      </c>
      <c r="D44" s="132"/>
      <c r="E44" s="660">
        <f t="shared" si="6"/>
        <v>586136.46335009846</v>
      </c>
      <c r="F44" s="660"/>
      <c r="G44" s="675">
        <f t="shared" si="7"/>
        <v>6.8300000000000001E-3</v>
      </c>
      <c r="H44" s="650"/>
      <c r="I44" s="674">
        <f t="shared" si="8"/>
        <v>-4003.3120446811727</v>
      </c>
      <c r="J44" s="674">
        <f t="shared" si="9"/>
        <v>86036.957999635386</v>
      </c>
      <c r="K44" s="674"/>
      <c r="L44" s="674">
        <f t="shared" si="5"/>
        <v>-504102.81739514426</v>
      </c>
    </row>
    <row r="45" spans="2:12" ht="15.75">
      <c r="B45" s="650" t="s">
        <v>572</v>
      </c>
      <c r="C45" s="650" t="str">
        <f t="shared" ref="C45:C50" si="10">+C44</f>
        <v>Year 2026</v>
      </c>
      <c r="D45" s="650"/>
      <c r="E45" s="660">
        <f t="shared" si="6"/>
        <v>504102.81739514426</v>
      </c>
      <c r="F45" s="660"/>
      <c r="G45" s="675">
        <f t="shared" si="7"/>
        <v>6.8300000000000001E-3</v>
      </c>
      <c r="H45" s="650"/>
      <c r="I45" s="674">
        <f t="shared" si="8"/>
        <v>-3443.0222428088355</v>
      </c>
      <c r="J45" s="674">
        <f t="shared" si="9"/>
        <v>86036.957999635386</v>
      </c>
      <c r="K45" s="674"/>
      <c r="L45" s="674">
        <f t="shared" si="5"/>
        <v>-421508.88163831772</v>
      </c>
    </row>
    <row r="46" spans="2:12" ht="15.75">
      <c r="B46" s="650" t="s">
        <v>573</v>
      </c>
      <c r="C46" s="650" t="str">
        <f t="shared" si="10"/>
        <v>Year 2026</v>
      </c>
      <c r="D46" s="650"/>
      <c r="E46" s="660">
        <f t="shared" si="6"/>
        <v>421508.88163831772</v>
      </c>
      <c r="F46" s="660"/>
      <c r="G46" s="675">
        <f t="shared" si="7"/>
        <v>6.8300000000000001E-3</v>
      </c>
      <c r="H46" s="650"/>
      <c r="I46" s="674">
        <f t="shared" si="8"/>
        <v>-2878.9056615897102</v>
      </c>
      <c r="J46" s="674">
        <f t="shared" si="9"/>
        <v>86036.957999635386</v>
      </c>
      <c r="K46" s="674"/>
      <c r="L46" s="674">
        <f t="shared" si="5"/>
        <v>-338350.82930027205</v>
      </c>
    </row>
    <row r="47" spans="2:12" ht="15.75">
      <c r="B47" s="650" t="s">
        <v>574</v>
      </c>
      <c r="C47" s="650" t="str">
        <f t="shared" si="10"/>
        <v>Year 2026</v>
      </c>
      <c r="D47" s="650"/>
      <c r="E47" s="660">
        <f t="shared" si="6"/>
        <v>338350.82930027205</v>
      </c>
      <c r="F47" s="660"/>
      <c r="G47" s="675">
        <f t="shared" si="7"/>
        <v>6.8300000000000001E-3</v>
      </c>
      <c r="H47" s="650"/>
      <c r="I47" s="674">
        <f t="shared" si="8"/>
        <v>-2310.9361641208579</v>
      </c>
      <c r="J47" s="674">
        <f>J46</f>
        <v>86036.957999635386</v>
      </c>
      <c r="K47" s="674"/>
      <c r="L47" s="674">
        <f t="shared" si="5"/>
        <v>-254624.80746475753</v>
      </c>
    </row>
    <row r="48" spans="2:12" ht="15.75">
      <c r="B48" s="650" t="s">
        <v>575</v>
      </c>
      <c r="C48" s="650" t="str">
        <f t="shared" si="10"/>
        <v>Year 2026</v>
      </c>
      <c r="D48" s="650"/>
      <c r="E48" s="660">
        <f t="shared" si="6"/>
        <v>254624.80746475753</v>
      </c>
      <c r="F48" s="660"/>
      <c r="G48" s="675">
        <f t="shared" si="7"/>
        <v>6.8300000000000001E-3</v>
      </c>
      <c r="H48" s="650"/>
      <c r="I48" s="674">
        <f t="shared" si="8"/>
        <v>-1739.0874349842938</v>
      </c>
      <c r="J48" s="674">
        <f t="shared" si="9"/>
        <v>86036.957999635386</v>
      </c>
      <c r="K48" s="674"/>
      <c r="L48" s="674">
        <f t="shared" si="5"/>
        <v>-170326.93690010643</v>
      </c>
    </row>
    <row r="49" spans="2:12" ht="15.75">
      <c r="B49" s="650" t="s">
        <v>576</v>
      </c>
      <c r="C49" s="650" t="str">
        <f t="shared" si="10"/>
        <v>Year 2026</v>
      </c>
      <c r="D49" s="650"/>
      <c r="E49" s="660">
        <f t="shared" si="6"/>
        <v>170326.93690010643</v>
      </c>
      <c r="F49" s="660"/>
      <c r="G49" s="675">
        <f t="shared" si="7"/>
        <v>6.8300000000000001E-3</v>
      </c>
      <c r="H49" s="650"/>
      <c r="I49" s="674">
        <f t="shared" si="8"/>
        <v>-1163.3329790277269</v>
      </c>
      <c r="J49" s="674">
        <f t="shared" si="9"/>
        <v>86036.957999635386</v>
      </c>
      <c r="K49" s="674"/>
      <c r="L49" s="674">
        <f t="shared" si="5"/>
        <v>-85453.311879498782</v>
      </c>
    </row>
    <row r="50" spans="2:12" ht="15.75">
      <c r="B50" s="650" t="s">
        <v>577</v>
      </c>
      <c r="C50" s="650" t="str">
        <f t="shared" si="10"/>
        <v>Year 2026</v>
      </c>
      <c r="D50" s="650"/>
      <c r="E50" s="660">
        <f t="shared" si="6"/>
        <v>85453.311879498782</v>
      </c>
      <c r="F50" s="660"/>
      <c r="G50" s="675">
        <f t="shared" si="7"/>
        <v>6.8300000000000001E-3</v>
      </c>
      <c r="H50" s="650"/>
      <c r="I50" s="676">
        <f t="shared" si="8"/>
        <v>-583.64612013697672</v>
      </c>
      <c r="J50" s="674">
        <f t="shared" si="9"/>
        <v>86036.957999635386</v>
      </c>
      <c r="K50" s="674"/>
      <c r="L50" s="674">
        <f t="shared" si="5"/>
        <v>-3.7834979593753815E-10</v>
      </c>
    </row>
    <row r="51" spans="2:12" ht="15.75">
      <c r="B51" s="650"/>
      <c r="C51" s="650"/>
      <c r="D51" s="650"/>
      <c r="E51" s="660"/>
      <c r="F51" s="660"/>
      <c r="G51" s="675"/>
      <c r="H51" s="650"/>
      <c r="I51" s="674">
        <f>SUM(I39:I50)</f>
        <v>-44411.019965336607</v>
      </c>
      <c r="J51" s="674"/>
      <c r="K51" s="674"/>
      <c r="L51" s="674"/>
    </row>
    <row r="52" spans="2:12" ht="15">
      <c r="B52" s="132"/>
      <c r="C52" s="132"/>
      <c r="D52" s="132"/>
      <c r="E52" s="132"/>
      <c r="F52" s="132"/>
      <c r="G52" s="132"/>
      <c r="H52" s="132"/>
      <c r="I52" s="132"/>
      <c r="J52" s="681"/>
      <c r="K52" s="132"/>
      <c r="L52" s="132"/>
    </row>
    <row r="53" spans="2:12" ht="15.75">
      <c r="B53" s="650" t="s">
        <v>581</v>
      </c>
      <c r="C53" s="132"/>
      <c r="D53" s="132"/>
      <c r="E53" s="132"/>
      <c r="F53" s="132"/>
      <c r="G53" s="132"/>
      <c r="H53" s="132"/>
      <c r="I53" s="132"/>
      <c r="J53" s="682">
        <f>(SUM(J39:J50)*-1)</f>
        <v>-1032443.4959956246</v>
      </c>
      <c r="K53" s="132"/>
      <c r="L53" s="132"/>
    </row>
    <row r="54" spans="2:12" ht="15.75">
      <c r="B54" s="650" t="s">
        <v>582</v>
      </c>
      <c r="C54" s="132"/>
      <c r="D54" s="132"/>
      <c r="E54" s="132"/>
      <c r="F54" s="132"/>
      <c r="G54" s="132"/>
      <c r="H54" s="132"/>
      <c r="I54" s="132"/>
      <c r="J54" s="683">
        <f>+I10</f>
        <v>874369.96423186362</v>
      </c>
      <c r="K54" s="132"/>
      <c r="L54" s="1037"/>
    </row>
    <row r="55" spans="2:12" ht="15.75">
      <c r="B55" s="650" t="s">
        <v>583</v>
      </c>
      <c r="C55" s="132"/>
      <c r="D55" s="132"/>
      <c r="E55" s="132"/>
      <c r="F55" s="132"/>
      <c r="G55" s="132"/>
      <c r="H55" s="132"/>
      <c r="I55" s="132"/>
      <c r="J55" s="682">
        <f>(J53+J54)</f>
        <v>-158073.53176376096</v>
      </c>
      <c r="K55" s="132"/>
      <c r="L55" s="132"/>
    </row>
    <row r="57" spans="2:12" ht="79.150000000000006" customHeight="1">
      <c r="B57" s="1209" t="s">
        <v>584</v>
      </c>
      <c r="C57" s="1209"/>
      <c r="D57" s="1209"/>
      <c r="E57" s="1209"/>
      <c r="F57" s="1209"/>
      <c r="G57" s="1209"/>
      <c r="H57" s="1209"/>
      <c r="I57" s="1209"/>
      <c r="J57" s="959"/>
      <c r="K57" s="960"/>
      <c r="L57" s="960"/>
    </row>
  </sheetData>
  <mergeCells count="5">
    <mergeCell ref="B1:L1"/>
    <mergeCell ref="B2:L2"/>
    <mergeCell ref="B3:L3"/>
    <mergeCell ref="E4:H4"/>
    <mergeCell ref="B57:I57"/>
  </mergeCells>
  <pageMargins left="0.7" right="0.7" top="0.75" bottom="0.75" header="0.3" footer="0.3"/>
  <pageSetup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L222"/>
  <sheetViews>
    <sheetView zoomScale="75" zoomScaleNormal="75" workbookViewId="0">
      <selection activeCell="K45" sqref="K45"/>
    </sheetView>
  </sheetViews>
  <sheetFormatPr defaultRowHeight="12.75"/>
  <cols>
    <col min="1" max="1" width="9.140625" style="7"/>
    <col min="2" max="2" width="0.85546875" style="14" customWidth="1"/>
    <col min="3" max="3" width="41.5703125" style="7" customWidth="1"/>
    <col min="4" max="4" width="38.85546875" style="7" bestFit="1" customWidth="1"/>
    <col min="5" max="5" width="23.28515625" style="7" customWidth="1"/>
    <col min="6" max="6" width="1.7109375" style="7" customWidth="1"/>
    <col min="7" max="7" width="23.5703125" style="7" customWidth="1"/>
    <col min="8" max="8" width="2.85546875" style="7" customWidth="1"/>
    <col min="9" max="9" width="20" style="7" customWidth="1"/>
    <col min="10" max="10" width="5.5703125" style="7" customWidth="1"/>
    <col min="11" max="12" width="9.140625" style="7"/>
    <col min="13" max="13" width="10" style="7" bestFit="1" customWidth="1"/>
    <col min="14" max="14" width="17.7109375" style="7" customWidth="1"/>
    <col min="15" max="15" width="15.5703125" style="7" bestFit="1" customWidth="1"/>
    <col min="16" max="16384" width="9.140625" style="7"/>
  </cols>
  <sheetData>
    <row r="1" spans="1:12" ht="15.75">
      <c r="A1" s="730" t="s">
        <v>406</v>
      </c>
    </row>
    <row r="2" spans="1:12" ht="15.75">
      <c r="A2" s="730" t="s">
        <v>406</v>
      </c>
    </row>
    <row r="3" spans="1:12" ht="15">
      <c r="A3" s="1148" t="str">
        <f>TCOS!$F$5</f>
        <v>AEPTCo subsidiaries in PJM</v>
      </c>
      <c r="B3" s="1148" t="str">
        <f>TCOS!$F$5</f>
        <v>AEPTCo subsidiaries in PJM</v>
      </c>
      <c r="C3" s="1148" t="str">
        <f>TCOS!$F$5</f>
        <v>AEPTCo subsidiaries in PJM</v>
      </c>
      <c r="D3" s="1148" t="str">
        <f>TCOS!$F$5</f>
        <v>AEPTCo subsidiaries in PJM</v>
      </c>
      <c r="E3" s="1148" t="str">
        <f>TCOS!$F$5</f>
        <v>AEPTCo subsidiaries in PJM</v>
      </c>
      <c r="F3" s="1148" t="str">
        <f>TCOS!$F$5</f>
        <v>AEPTCo subsidiaries in PJM</v>
      </c>
      <c r="G3" s="1148" t="str">
        <f>TCOS!$F$5</f>
        <v>AEPTCo subsidiaries in PJM</v>
      </c>
      <c r="H3" s="1148" t="str">
        <f>TCOS!$F$5</f>
        <v>AEPTCo subsidiaries in PJM</v>
      </c>
      <c r="I3" s="1148" t="str">
        <f>TCOS!$F$5</f>
        <v>AEPTCo subsidiaries in PJM</v>
      </c>
      <c r="J3" s="17"/>
    </row>
    <row r="4" spans="1:12" ht="15">
      <c r="A4" s="1149" t="str">
        <f>"Cost of Service Formula Rate Using Actual/Projected FF1 Balances"</f>
        <v>Cost of Service Formula Rate Using Actual/Projected FF1 Balances</v>
      </c>
      <c r="B4" s="1149"/>
      <c r="C4" s="1149"/>
      <c r="D4" s="1149"/>
      <c r="E4" s="1149"/>
      <c r="F4" s="1149"/>
      <c r="G4" s="1149"/>
      <c r="H4" s="1149"/>
      <c r="I4" s="1149"/>
      <c r="J4" s="45"/>
    </row>
    <row r="5" spans="1:12" ht="15">
      <c r="A5" s="1149" t="s">
        <v>262</v>
      </c>
      <c r="B5" s="1149"/>
      <c r="C5" s="1149"/>
      <c r="D5" s="1149"/>
      <c r="E5" s="1149"/>
      <c r="F5" s="1149"/>
      <c r="G5" s="1149"/>
      <c r="H5" s="1149"/>
      <c r="I5" s="1149"/>
      <c r="J5" s="44"/>
    </row>
    <row r="6" spans="1:12" ht="15">
      <c r="A6" s="1159" t="str">
        <f>TCOS!F9</f>
        <v>AEP Ohio Transmission Company</v>
      </c>
      <c r="B6" s="1159"/>
      <c r="C6" s="1159"/>
      <c r="D6" s="1159"/>
      <c r="E6" s="1159"/>
      <c r="F6" s="1159"/>
      <c r="G6" s="1159"/>
      <c r="H6" s="1159"/>
      <c r="I6" s="1159"/>
      <c r="J6" s="2"/>
    </row>
    <row r="7" spans="1:12">
      <c r="C7" s="13"/>
      <c r="D7" s="13"/>
    </row>
    <row r="8" spans="1:12" ht="15">
      <c r="A8" s="702"/>
      <c r="B8" s="711"/>
      <c r="C8" s="715" t="s">
        <v>452</v>
      </c>
      <c r="D8" s="715" t="s">
        <v>453</v>
      </c>
      <c r="E8" s="715" t="s">
        <v>454</v>
      </c>
      <c r="F8" s="702"/>
      <c r="G8" s="715" t="s">
        <v>455</v>
      </c>
      <c r="H8" s="702"/>
      <c r="I8" s="715" t="s">
        <v>375</v>
      </c>
      <c r="J8" s="4"/>
      <c r="K8"/>
      <c r="L8"/>
    </row>
    <row r="9" spans="1:12" ht="15">
      <c r="A9" s="701"/>
      <c r="B9" s="711"/>
      <c r="C9" s="702"/>
      <c r="D9" s="702"/>
      <c r="E9" s="702"/>
      <c r="F9" s="702"/>
      <c r="G9" s="702"/>
      <c r="H9" s="702"/>
      <c r="I9" s="716"/>
      <c r="J9"/>
      <c r="K9"/>
      <c r="L9"/>
    </row>
    <row r="10" spans="1:12" ht="12.75" customHeight="1">
      <c r="A10" s="714" t="s">
        <v>459</v>
      </c>
      <c r="B10" s="711"/>
      <c r="C10" s="717"/>
      <c r="D10" s="717"/>
      <c r="E10" s="1157" t="str">
        <f>"Balance @    December 31, "&amp;TCOS!L4&amp;""</f>
        <v>Balance @    December 31, 2026</v>
      </c>
      <c r="F10" s="718"/>
      <c r="G10" s="1157" t="str">
        <f>"Balance @     December 31, "&amp;TCOS!L4-1&amp;""</f>
        <v>Balance @     December 31, 2025</v>
      </c>
      <c r="H10" s="718"/>
      <c r="I10" s="1160" t="str">
        <f>"Average Balance for "&amp;TCOS!L4&amp;""</f>
        <v>Average Balance for 2026</v>
      </c>
      <c r="J10"/>
      <c r="K10"/>
      <c r="L10"/>
    </row>
    <row r="11" spans="1:12" ht="15">
      <c r="A11" s="721" t="s">
        <v>397</v>
      </c>
      <c r="B11" s="719"/>
      <c r="C11" s="714" t="s">
        <v>457</v>
      </c>
      <c r="D11" s="714" t="s">
        <v>488</v>
      </c>
      <c r="E11" s="1158"/>
      <c r="F11" s="720"/>
      <c r="G11" s="1158"/>
      <c r="H11" s="720"/>
      <c r="I11" s="1158"/>
      <c r="J11"/>
      <c r="K11"/>
      <c r="L11"/>
    </row>
    <row r="12" spans="1:12">
      <c r="A12" s="43"/>
      <c r="C12" s="13"/>
      <c r="D12" s="13"/>
      <c r="G12" s="96"/>
    </row>
    <row r="13" spans="1:12">
      <c r="A13" s="43"/>
      <c r="C13" s="13"/>
      <c r="D13" s="13"/>
    </row>
    <row r="14" spans="1:12">
      <c r="A14" s="43"/>
      <c r="C14" s="13"/>
      <c r="D14" s="13"/>
    </row>
    <row r="15" spans="1:12" ht="15.75">
      <c r="A15" s="43">
        <v>1</v>
      </c>
      <c r="C15" s="28" t="s">
        <v>295</v>
      </c>
      <c r="D15" s="28"/>
    </row>
    <row r="16" spans="1:12" ht="15.75">
      <c r="A16" s="43"/>
      <c r="C16" s="28"/>
      <c r="D16" s="714"/>
      <c r="H16"/>
    </row>
    <row r="17" spans="1:9" ht="14.25">
      <c r="A17" s="43">
        <f>+A15+1</f>
        <v>2</v>
      </c>
      <c r="C17" s="708" t="s">
        <v>301</v>
      </c>
      <c r="D17" s="712" t="s">
        <v>303</v>
      </c>
      <c r="E17" s="700">
        <v>0</v>
      </c>
      <c r="F17" s="702"/>
      <c r="G17" s="700">
        <v>0</v>
      </c>
      <c r="H17" s="705"/>
      <c r="I17" s="706">
        <f>IF(G17="",0,(E17+G17)/2)</f>
        <v>0</v>
      </c>
    </row>
    <row r="18" spans="1:9" ht="14.25">
      <c r="A18" s="43">
        <f>+A17+1</f>
        <v>3</v>
      </c>
      <c r="C18" s="708" t="s">
        <v>305</v>
      </c>
      <c r="D18" s="701" t="str">
        <f>"WS B-1 - Actual Stmt. AF Ln. " &amp;'WS B-1 - Actual Stmt. AF'!A24&amp;" (Note 1)"</f>
        <v>WS B-1 - Actual Stmt. AF Ln. 4 (Note 1)</v>
      </c>
      <c r="E18" s="700">
        <v>0</v>
      </c>
      <c r="F18" s="702"/>
      <c r="G18" s="700">
        <v>0</v>
      </c>
      <c r="H18" s="705"/>
      <c r="I18" s="706">
        <f>IF(G18="",0,(E18+G18)/2)</f>
        <v>0</v>
      </c>
    </row>
    <row r="19" spans="1:9" ht="16.5">
      <c r="A19" s="43">
        <f>+A18+1</f>
        <v>4</v>
      </c>
      <c r="C19" s="708" t="s">
        <v>306</v>
      </c>
      <c r="D19" s="701" t="str">
        <f>"WS B-1 - Actual Stmt. AF Ln. " &amp;'WS B-1 - Actual Stmt. AF'!A23&amp;" (Note 1)"</f>
        <v>WS B-1 - Actual Stmt. AF Ln. 3 (Note 1)</v>
      </c>
      <c r="E19" s="704">
        <v>0</v>
      </c>
      <c r="F19" s="702"/>
      <c r="G19" s="704">
        <v>0</v>
      </c>
      <c r="H19" s="702"/>
      <c r="I19" s="707">
        <f>IF(G19="",0,(E19+G19)/2)</f>
        <v>0</v>
      </c>
    </row>
    <row r="20" spans="1:9" ht="14.25">
      <c r="A20" s="43">
        <f>+A19+1</f>
        <v>5</v>
      </c>
      <c r="C20" s="708" t="s">
        <v>302</v>
      </c>
      <c r="D20" s="713" t="str">
        <f>"Ln "&amp;A17&amp;" - ln "&amp;A18&amp;" - ln "&amp;A19&amp;""</f>
        <v>Ln 2 - ln 3 - ln 4</v>
      </c>
      <c r="E20" s="703">
        <f>+E17-E18-E19</f>
        <v>0</v>
      </c>
      <c r="F20" s="702"/>
      <c r="G20" s="703">
        <f>+G17-G18-G19</f>
        <v>0</v>
      </c>
      <c r="H20" s="702"/>
      <c r="I20" s="706">
        <f>+I17-I18-I19</f>
        <v>0</v>
      </c>
    </row>
    <row r="21" spans="1:9" ht="14.25">
      <c r="A21" s="43"/>
      <c r="C21" s="36"/>
      <c r="D21" s="708"/>
      <c r="E21" s="702"/>
      <c r="F21" s="702"/>
      <c r="G21" s="702"/>
      <c r="H21" s="702"/>
      <c r="I21" s="702"/>
    </row>
    <row r="22" spans="1:9" ht="14.25">
      <c r="A22" s="43"/>
      <c r="C22" s="36"/>
      <c r="D22" s="708"/>
      <c r="E22" s="702"/>
      <c r="F22" s="702"/>
      <c r="G22" s="702"/>
      <c r="H22" s="702"/>
      <c r="I22" s="702"/>
    </row>
    <row r="23" spans="1:9" ht="15.75">
      <c r="A23" s="43">
        <f>+A20+1</f>
        <v>6</v>
      </c>
      <c r="C23" s="28" t="s">
        <v>296</v>
      </c>
      <c r="D23" s="708"/>
      <c r="E23" s="702"/>
      <c r="F23" s="702"/>
      <c r="G23" s="702"/>
      <c r="H23" s="702"/>
      <c r="I23" s="702"/>
    </row>
    <row r="24" spans="1:9" ht="14.25">
      <c r="A24" s="43"/>
      <c r="C24" s="36"/>
      <c r="D24" s="708"/>
      <c r="E24" s="702"/>
      <c r="F24" s="702"/>
      <c r="G24" s="702"/>
      <c r="H24" s="702"/>
      <c r="I24" s="702"/>
    </row>
    <row r="25" spans="1:9" ht="14.25">
      <c r="A25" s="43">
        <f>+A23+1</f>
        <v>7</v>
      </c>
      <c r="C25" s="708" t="s">
        <v>301</v>
      </c>
      <c r="D25" s="712" t="s">
        <v>229</v>
      </c>
      <c r="E25" s="700">
        <v>589809365.29224062</v>
      </c>
      <c r="F25" s="702"/>
      <c r="G25" s="700">
        <v>542243262.06634128</v>
      </c>
      <c r="H25" s="705"/>
      <c r="I25" s="706">
        <f>IF(G25="",0,(E25+G25)/2)</f>
        <v>566026313.67929101</v>
      </c>
    </row>
    <row r="26" spans="1:9" ht="14.25">
      <c r="A26" s="43">
        <f>+A25+1</f>
        <v>8</v>
      </c>
      <c r="C26" s="708" t="s">
        <v>305</v>
      </c>
      <c r="D26" s="701" t="str">
        <f>"WS B-1 - Actual Stmt. AF Ln. " &amp;'WS B-1 - Actual Stmt. AF'!A72&amp;" (Note 1)"</f>
        <v>WS B-1 - Actual Stmt. AF Ln. 7 (Note 1)</v>
      </c>
      <c r="E26" s="700">
        <v>0</v>
      </c>
      <c r="F26" s="702"/>
      <c r="G26" s="700">
        <v>0</v>
      </c>
      <c r="H26" s="705"/>
      <c r="I26" s="706">
        <f>IF(G26="",0,(E26+G26)/2)</f>
        <v>0</v>
      </c>
    </row>
    <row r="27" spans="1:9" ht="16.5">
      <c r="A27" s="43">
        <f>+A26+1</f>
        <v>9</v>
      </c>
      <c r="C27" s="708" t="s">
        <v>306</v>
      </c>
      <c r="D27" s="701" t="str">
        <f>"WS B-1 - Actual Stmt. AF Ln. " &amp;'WS B-1 - Actual Stmt. AF'!A71&amp;" (Note 1)"</f>
        <v>WS B-1 - Actual Stmt. AF Ln. 6 (Note 1)</v>
      </c>
      <c r="E27" s="704">
        <v>21422926.861963511</v>
      </c>
      <c r="F27" s="702"/>
      <c r="G27" s="704">
        <v>-4238877.2300000191</v>
      </c>
      <c r="H27" s="702"/>
      <c r="I27" s="707">
        <f>IF(G27="",0,(E27+G27)/2)</f>
        <v>8592024.8159817457</v>
      </c>
    </row>
    <row r="28" spans="1:9" ht="14.25">
      <c r="A28" s="43">
        <f>+A27+1</f>
        <v>10</v>
      </c>
      <c r="C28" s="708" t="s">
        <v>302</v>
      </c>
      <c r="D28" s="713" t="str">
        <f>"Ln "&amp;A25&amp;" - ln "&amp;A26&amp;" - ln "&amp;A27&amp;""</f>
        <v>Ln 7 - ln 8 - ln 9</v>
      </c>
      <c r="E28" s="703">
        <f>+E25-E26-E27</f>
        <v>568386438.43027711</v>
      </c>
      <c r="F28" s="702"/>
      <c r="G28" s="703">
        <f>+G25-G26-G27</f>
        <v>546482139.2963413</v>
      </c>
      <c r="H28" s="702"/>
      <c r="I28" s="706">
        <f>+I25-I26-I27</f>
        <v>557434288.86330926</v>
      </c>
    </row>
    <row r="29" spans="1:9" ht="14.25">
      <c r="A29" s="43"/>
      <c r="C29" s="36"/>
      <c r="D29" s="708"/>
      <c r="E29" s="702"/>
      <c r="F29" s="702"/>
      <c r="G29" s="702"/>
      <c r="H29" s="702"/>
      <c r="I29" s="702"/>
    </row>
    <row r="30" spans="1:9" ht="14.25">
      <c r="A30" s="43"/>
      <c r="C30" s="36"/>
      <c r="D30" s="708"/>
      <c r="E30" s="703"/>
      <c r="F30" s="702"/>
      <c r="G30" s="703"/>
      <c r="H30" s="702"/>
      <c r="I30" s="702"/>
    </row>
    <row r="31" spans="1:9" ht="15.75">
      <c r="A31" s="43">
        <f>+A28+1</f>
        <v>11</v>
      </c>
      <c r="C31" s="28" t="s">
        <v>297</v>
      </c>
      <c r="D31" s="708"/>
      <c r="E31" s="702"/>
      <c r="F31" s="702"/>
      <c r="G31" s="702"/>
      <c r="H31" s="702"/>
      <c r="I31" s="702"/>
    </row>
    <row r="32" spans="1:9" ht="15.75">
      <c r="A32" s="43"/>
      <c r="C32" s="28"/>
      <c r="D32" s="708"/>
      <c r="E32" s="702"/>
      <c r="F32" s="702"/>
      <c r="G32" s="702"/>
      <c r="H32" s="702"/>
      <c r="I32" s="702"/>
    </row>
    <row r="33" spans="1:9" ht="14.25">
      <c r="A33" s="43">
        <f>+A31+1</f>
        <v>12</v>
      </c>
      <c r="C33" s="708" t="s">
        <v>301</v>
      </c>
      <c r="D33" s="712" t="s">
        <v>304</v>
      </c>
      <c r="E33" s="700">
        <v>26078287.117864221</v>
      </c>
      <c r="F33" s="702"/>
      <c r="G33" s="700">
        <v>26097578.880798936</v>
      </c>
      <c r="H33" s="705"/>
      <c r="I33" s="706">
        <f>IF(G33="",0,(E33+G33)/2)</f>
        <v>26087932.999331579</v>
      </c>
    </row>
    <row r="34" spans="1:9" ht="14.25">
      <c r="A34" s="43">
        <f>+A33+1</f>
        <v>13</v>
      </c>
      <c r="C34" s="708" t="s">
        <v>305</v>
      </c>
      <c r="D34" s="701" t="str">
        <f>"WS B-1 - Actual Stmt. AF Ln. " &amp;'WS B-1 - Actual Stmt. AF'!A184&amp;" (Note 1)"</f>
        <v>WS B-1 - Actual Stmt. AF Ln. 13 (Note 1)</v>
      </c>
      <c r="E34" s="700">
        <v>0</v>
      </c>
      <c r="F34" s="702"/>
      <c r="G34" s="700">
        <v>0</v>
      </c>
      <c r="H34" s="705"/>
      <c r="I34" s="706">
        <f>IF(G34="",0,(E34+G34)/2)</f>
        <v>0</v>
      </c>
    </row>
    <row r="35" spans="1:9" ht="16.5">
      <c r="A35" s="43">
        <f>+A34+1</f>
        <v>14</v>
      </c>
      <c r="C35" s="708" t="s">
        <v>306</v>
      </c>
      <c r="D35" s="701" t="str">
        <f>"WS B-1 - Actual Stmt. AF Ln. " &amp;'WS B-1 - Actual Stmt. AF'!A183&amp;" (Note 1)"</f>
        <v>WS B-1 - Actual Stmt. AF Ln. 12 (Note 1)</v>
      </c>
      <c r="E35" s="704">
        <v>19365582.469999999</v>
      </c>
      <c r="F35" s="702"/>
      <c r="G35" s="704">
        <v>19365582.469999999</v>
      </c>
      <c r="H35" s="702"/>
      <c r="I35" s="707">
        <f>IF(G35="",0,(E35+G35)/2)</f>
        <v>19365582.469999999</v>
      </c>
    </row>
    <row r="36" spans="1:9" ht="14.25">
      <c r="A36" s="43">
        <f>+A35+1</f>
        <v>15</v>
      </c>
      <c r="C36" s="708" t="s">
        <v>302</v>
      </c>
      <c r="D36" s="713" t="str">
        <f>"Ln "&amp;A33&amp;" - ln "&amp;A34&amp;" - ln "&amp;A35&amp;""</f>
        <v>Ln 12 - ln 13 - ln 14</v>
      </c>
      <c r="E36" s="703">
        <f>+E33-E34-E35</f>
        <v>6712704.6478642225</v>
      </c>
      <c r="F36" s="702"/>
      <c r="G36" s="703">
        <f>+G33-G34-G35</f>
        <v>6731996.4107989371</v>
      </c>
      <c r="H36" s="702"/>
      <c r="I36" s="706">
        <f>+I33-I34-I35</f>
        <v>6722350.5293315798</v>
      </c>
    </row>
    <row r="37" spans="1:9" ht="15.75">
      <c r="A37" s="43"/>
      <c r="C37" s="28"/>
      <c r="D37" s="708"/>
      <c r="E37" s="702"/>
      <c r="F37" s="702"/>
      <c r="G37" s="702"/>
      <c r="H37" s="702"/>
      <c r="I37" s="702"/>
    </row>
    <row r="38" spans="1:9" ht="14.25">
      <c r="A38" s="43"/>
      <c r="C38" s="36"/>
      <c r="D38" s="708"/>
      <c r="E38" s="702"/>
      <c r="F38" s="702"/>
      <c r="G38" s="702"/>
      <c r="H38" s="702"/>
      <c r="I38" s="702"/>
    </row>
    <row r="39" spans="1:9" ht="15.75">
      <c r="A39" s="43">
        <f>+A36+1</f>
        <v>16</v>
      </c>
      <c r="C39" s="28" t="s">
        <v>298</v>
      </c>
      <c r="D39" s="708"/>
      <c r="E39" s="702"/>
      <c r="F39" s="702"/>
      <c r="G39" s="702"/>
      <c r="H39" s="702"/>
      <c r="I39" s="702"/>
    </row>
    <row r="40" spans="1:9" ht="14.25">
      <c r="A40" s="43"/>
      <c r="C40" s="36"/>
      <c r="D40" s="708"/>
      <c r="E40" s="702"/>
      <c r="F40" s="702"/>
      <c r="G40" s="702"/>
      <c r="H40" s="702"/>
      <c r="I40" s="702"/>
    </row>
    <row r="41" spans="1:9" ht="14.25">
      <c r="A41" s="43">
        <f>+A39+1</f>
        <v>17</v>
      </c>
      <c r="C41" s="708" t="s">
        <v>301</v>
      </c>
      <c r="D41" s="712" t="s">
        <v>300</v>
      </c>
      <c r="E41" s="700">
        <v>19824115.2360458</v>
      </c>
      <c r="F41" s="702"/>
      <c r="G41" s="700">
        <v>22193472.914570656</v>
      </c>
      <c r="H41" s="705"/>
      <c r="I41" s="706">
        <f>IF(G41="",0,(E41+G41)/2)</f>
        <v>21008794.075308226</v>
      </c>
    </row>
    <row r="42" spans="1:9" ht="14.25">
      <c r="A42" s="43">
        <f>+A41+1</f>
        <v>18</v>
      </c>
      <c r="C42" s="708" t="s">
        <v>305</v>
      </c>
      <c r="D42" s="701" t="str">
        <f>"WS B-2 - Actual Stmt. AG Ln. " &amp;'WS B-2 - Actual Stmt. AG'!A110&amp;" (Note 1)"</f>
        <v>WS B-2 - Actual Stmt. AG Ln. 4 (Note 1)</v>
      </c>
      <c r="E42" s="700">
        <v>0</v>
      </c>
      <c r="F42" s="702"/>
      <c r="G42" s="700">
        <v>0</v>
      </c>
      <c r="H42" s="705"/>
      <c r="I42" s="706">
        <f>IF(G42="",0,(E42+G42)/2)</f>
        <v>0</v>
      </c>
    </row>
    <row r="43" spans="1:9" ht="16.5">
      <c r="A43" s="43">
        <f>+A42+1</f>
        <v>19</v>
      </c>
      <c r="C43" s="708" t="s">
        <v>306</v>
      </c>
      <c r="D43" s="701" t="str">
        <f>"WS B-2 - Actual Stmt. AG Ln. " &amp;'WS B-2 - Actual Stmt. AG'!A109&amp;" (Note 1)"</f>
        <v>WS B-2 - Actual Stmt. AG Ln. 3 (Note 1)</v>
      </c>
      <c r="E43" s="704">
        <v>18526434.52</v>
      </c>
      <c r="F43" s="702"/>
      <c r="G43" s="704">
        <v>18526434.52</v>
      </c>
      <c r="H43" s="702"/>
      <c r="I43" s="707">
        <f>IF(G43="",0,(E43+G43)/2)</f>
        <v>18526434.52</v>
      </c>
    </row>
    <row r="44" spans="1:9" ht="14.25">
      <c r="A44" s="43">
        <f>+A43+1</f>
        <v>20</v>
      </c>
      <c r="C44" s="708" t="s">
        <v>302</v>
      </c>
      <c r="D44" s="713" t="str">
        <f>"Ln "&amp;A41&amp;" - ln "&amp;A42&amp;" - ln "&amp;A43&amp;""</f>
        <v>Ln 17 - ln 18 - ln 19</v>
      </c>
      <c r="E44" s="703">
        <f>+E41-E42-E43</f>
        <v>1297680.7160458006</v>
      </c>
      <c r="F44" s="702"/>
      <c r="G44" s="703">
        <f>+G41-G42-G43</f>
        <v>3667038.3945706561</v>
      </c>
      <c r="H44" s="702"/>
      <c r="I44" s="706">
        <f>+I41-I42-I43</f>
        <v>2482359.5553082265</v>
      </c>
    </row>
    <row r="45" spans="1:9" ht="14.25">
      <c r="A45" s="43"/>
      <c r="C45" s="36"/>
      <c r="D45" s="36"/>
      <c r="E45" s="702"/>
      <c r="F45" s="702"/>
      <c r="G45" s="702"/>
      <c r="H45" s="702"/>
      <c r="I45" s="702"/>
    </row>
    <row r="46" spans="1:9" ht="14.25">
      <c r="A46" s="43"/>
      <c r="C46" s="36"/>
      <c r="D46" s="36"/>
      <c r="E46" s="702"/>
      <c r="F46" s="702"/>
      <c r="G46" s="702"/>
      <c r="H46" s="702"/>
      <c r="I46" s="702"/>
    </row>
    <row r="47" spans="1:9" ht="15.75">
      <c r="A47" s="43">
        <f>+A44+1</f>
        <v>21</v>
      </c>
      <c r="C47" s="28" t="s">
        <v>299</v>
      </c>
      <c r="D47" s="36"/>
      <c r="E47" s="702"/>
      <c r="F47" s="702"/>
      <c r="G47" s="702"/>
      <c r="H47" s="702"/>
      <c r="I47" s="702"/>
    </row>
    <row r="48" spans="1:9" ht="14.25">
      <c r="A48" s="43"/>
      <c r="C48" s="36"/>
      <c r="D48" s="36"/>
      <c r="E48" s="702"/>
      <c r="F48" s="702"/>
      <c r="G48" s="702"/>
      <c r="H48" s="702"/>
      <c r="I48" s="702"/>
    </row>
    <row r="49" spans="1:10" ht="14.25">
      <c r="A49" s="43">
        <f>+A47+1</f>
        <v>22</v>
      </c>
      <c r="C49" s="708" t="s">
        <v>307</v>
      </c>
      <c r="D49" s="712" t="s">
        <v>261</v>
      </c>
      <c r="E49" s="700"/>
      <c r="F49" s="702"/>
      <c r="G49" s="700"/>
      <c r="H49" s="705"/>
      <c r="I49" s="706">
        <f>IF(G49="",0,(E49+G49)/2)</f>
        <v>0</v>
      </c>
    </row>
    <row r="50" spans="1:10" ht="16.5">
      <c r="A50" s="43">
        <f>+A49+1</f>
        <v>23</v>
      </c>
      <c r="C50" s="708" t="s">
        <v>308</v>
      </c>
      <c r="D50" s="701" t="s">
        <v>326</v>
      </c>
      <c r="E50" s="704"/>
      <c r="F50" s="702"/>
      <c r="G50" s="704"/>
      <c r="H50" s="705"/>
      <c r="I50" s="707">
        <f>IF(G50="",0,(E50+G50)/2)</f>
        <v>0</v>
      </c>
    </row>
    <row r="51" spans="1:10" ht="14.25">
      <c r="A51" s="43">
        <f>+A50+1</f>
        <v>24</v>
      </c>
      <c r="C51" s="708" t="s">
        <v>252</v>
      </c>
      <c r="D51" s="713" t="str">
        <f>"Ln "&amp;A49&amp;" - ln "&amp;A50&amp;""</f>
        <v>Ln 22 - ln 23</v>
      </c>
      <c r="E51" s="703">
        <f>+E49-E50</f>
        <v>0</v>
      </c>
      <c r="F51" s="702"/>
      <c r="G51" s="703">
        <f>+G49-G50</f>
        <v>0</v>
      </c>
      <c r="H51" s="705"/>
      <c r="I51" s="706">
        <f>+I49-I50</f>
        <v>0</v>
      </c>
    </row>
    <row r="52" spans="1:10" ht="14.25">
      <c r="A52" s="43">
        <f>+A51+1</f>
        <v>25</v>
      </c>
      <c r="C52" s="708" t="s">
        <v>302</v>
      </c>
      <c r="D52" s="713" t="str">
        <f>"WS B-1 - Actual Stmt. AF Ln. " &amp;'WS B-1 - Actual Stmt. AF'!A197&amp;" (Note 1)"</f>
        <v>WS B-1 - Actual Stmt. AF Ln. 20 (Note 1)</v>
      </c>
      <c r="E52" s="700"/>
      <c r="F52" s="702"/>
      <c r="G52" s="700"/>
      <c r="H52" s="705"/>
      <c r="I52" s="706">
        <f>IF(G52="",0,(E52+G52)/2)</f>
        <v>0</v>
      </c>
    </row>
    <row r="53" spans="1:10">
      <c r="A53" s="43"/>
      <c r="C53" s="36"/>
      <c r="D53" s="36"/>
    </row>
    <row r="54" spans="1:10" ht="14.25">
      <c r="A54" s="709" t="s">
        <v>325</v>
      </c>
      <c r="B54" s="710" t="s">
        <v>406</v>
      </c>
      <c r="C54" s="710" t="s">
        <v>755</v>
      </c>
      <c r="D54" s="36"/>
    </row>
    <row r="55" spans="1:10" ht="14.25">
      <c r="A55" s="701"/>
      <c r="B55" s="711"/>
      <c r="C55" s="708" t="s">
        <v>756</v>
      </c>
      <c r="D55" s="36"/>
    </row>
    <row r="56" spans="1:10" ht="14.25">
      <c r="A56" s="701" t="s">
        <v>258</v>
      </c>
      <c r="B56" s="711" t="s">
        <v>259</v>
      </c>
      <c r="C56" s="708"/>
      <c r="D56" s="36"/>
    </row>
    <row r="57" spans="1:10">
      <c r="B57" s="3"/>
      <c r="C57" s="3"/>
      <c r="D57" s="3"/>
      <c r="E57" s="3"/>
      <c r="F57" s="3"/>
      <c r="G57" s="3"/>
      <c r="H57" s="3"/>
      <c r="I57" s="3"/>
      <c r="J57" s="3"/>
    </row>
    <row r="58" spans="1:10">
      <c r="B58" s="3"/>
      <c r="C58" s="3"/>
      <c r="D58" s="3"/>
      <c r="E58" s="3"/>
      <c r="F58" s="3"/>
      <c r="G58" s="3"/>
      <c r="H58" s="3"/>
      <c r="I58" s="3"/>
      <c r="J58" s="3"/>
    </row>
    <row r="59" spans="1:10">
      <c r="B59" s="3"/>
      <c r="C59" s="3"/>
      <c r="D59" s="3"/>
      <c r="E59" s="3"/>
      <c r="F59" s="3"/>
      <c r="G59" s="3"/>
      <c r="H59" s="3"/>
      <c r="I59" s="3"/>
      <c r="J59" s="3"/>
    </row>
    <row r="60" spans="1:10">
      <c r="B60" s="3"/>
      <c r="C60" s="3"/>
      <c r="D60" s="3"/>
      <c r="E60" s="3"/>
      <c r="F60" s="3"/>
      <c r="G60" s="3"/>
      <c r="H60" s="3"/>
      <c r="I60" s="3"/>
      <c r="J60" s="3"/>
    </row>
    <row r="61" spans="1:10">
      <c r="B61" s="3"/>
      <c r="C61" s="3"/>
      <c r="D61" s="3"/>
      <c r="E61" s="3"/>
      <c r="F61" s="3"/>
      <c r="G61" s="3"/>
      <c r="H61" s="3"/>
      <c r="I61" s="3"/>
      <c r="J61" s="3"/>
    </row>
    <row r="62" spans="1:10">
      <c r="B62" s="3"/>
      <c r="C62" s="3"/>
      <c r="D62" s="3"/>
      <c r="E62" s="3"/>
      <c r="F62" s="3"/>
      <c r="G62" s="3"/>
      <c r="H62" s="3"/>
      <c r="I62" s="3"/>
      <c r="J62" s="3"/>
    </row>
    <row r="63" spans="1:10">
      <c r="B63" s="3"/>
      <c r="C63" s="3"/>
      <c r="D63" s="3"/>
      <c r="E63" s="3"/>
      <c r="F63" s="3"/>
      <c r="G63" s="3"/>
      <c r="H63" s="3"/>
      <c r="I63" s="3"/>
      <c r="J63" s="3"/>
    </row>
    <row r="64" spans="1:10">
      <c r="B64" s="3"/>
      <c r="C64" s="3"/>
      <c r="D64" s="3"/>
      <c r="E64" s="3"/>
      <c r="F64" s="3"/>
      <c r="G64" s="3"/>
      <c r="H64" s="3"/>
      <c r="I64" s="3"/>
      <c r="J64" s="3"/>
    </row>
    <row r="65" spans="2:10">
      <c r="B65" s="3"/>
      <c r="C65" s="3"/>
      <c r="D65" s="3"/>
      <c r="E65" s="3"/>
      <c r="F65" s="3"/>
      <c r="G65" s="3"/>
      <c r="H65" s="3"/>
      <c r="I65" s="3"/>
      <c r="J65" s="3"/>
    </row>
    <row r="66" spans="2:10">
      <c r="B66" s="3"/>
      <c r="C66" s="3"/>
      <c r="D66" s="3"/>
      <c r="E66" s="3"/>
      <c r="F66" s="3"/>
      <c r="G66" s="3"/>
      <c r="H66" s="3"/>
      <c r="I66" s="3"/>
      <c r="J66" s="3"/>
    </row>
    <row r="67" spans="2:10">
      <c r="B67" s="3"/>
      <c r="C67" s="3"/>
      <c r="D67" s="3"/>
      <c r="E67" s="3"/>
      <c r="F67" s="3"/>
      <c r="G67" s="3"/>
      <c r="H67" s="3"/>
      <c r="I67" s="3"/>
      <c r="J67" s="3"/>
    </row>
    <row r="68" spans="2:10">
      <c r="B68" s="3"/>
      <c r="C68" s="3"/>
      <c r="D68" s="3"/>
      <c r="E68" s="3"/>
      <c r="F68" s="3"/>
      <c r="G68" s="3"/>
      <c r="H68" s="3"/>
      <c r="I68" s="3"/>
      <c r="J68" s="3"/>
    </row>
    <row r="69" spans="2:10">
      <c r="B69" s="3"/>
      <c r="C69" s="3"/>
      <c r="D69" s="3"/>
      <c r="E69" s="3"/>
      <c r="F69" s="3"/>
      <c r="G69" s="3"/>
      <c r="H69" s="3"/>
      <c r="I69" s="3"/>
      <c r="J69" s="3"/>
    </row>
    <row r="70" spans="2:10">
      <c r="B70" s="3"/>
      <c r="C70" s="3"/>
      <c r="D70" s="3"/>
      <c r="E70" s="3"/>
      <c r="F70" s="3"/>
      <c r="G70" s="3"/>
      <c r="H70" s="3"/>
      <c r="I70" s="3"/>
      <c r="J70" s="3"/>
    </row>
    <row r="71" spans="2:10">
      <c r="B71" s="3"/>
      <c r="C71" s="3"/>
      <c r="D71" s="3"/>
      <c r="E71" s="3"/>
      <c r="F71" s="3"/>
      <c r="G71" s="3"/>
      <c r="H71" s="3"/>
      <c r="I71" s="3"/>
      <c r="J71" s="3"/>
    </row>
    <row r="72" spans="2:10">
      <c r="B72" s="3"/>
      <c r="C72" s="3"/>
      <c r="D72" s="3"/>
      <c r="E72" s="3"/>
      <c r="F72" s="3"/>
      <c r="G72" s="3"/>
      <c r="H72" s="3"/>
      <c r="I72" s="3"/>
      <c r="J72" s="3"/>
    </row>
    <row r="73" spans="2:10">
      <c r="B73" s="3"/>
      <c r="C73" s="3"/>
      <c r="D73" s="3"/>
      <c r="E73" s="3"/>
      <c r="F73" s="3"/>
      <c r="G73" s="3"/>
      <c r="H73" s="3"/>
      <c r="I73" s="3"/>
      <c r="J73" s="3"/>
    </row>
    <row r="74" spans="2:10">
      <c r="B74" s="3"/>
      <c r="C74" s="3"/>
      <c r="D74" s="3"/>
      <c r="E74" s="3"/>
      <c r="F74" s="3"/>
      <c r="G74" s="3"/>
      <c r="H74" s="3"/>
      <c r="I74" s="3"/>
      <c r="J74" s="3"/>
    </row>
    <row r="75" spans="2:10">
      <c r="B75" s="3"/>
      <c r="C75" s="3"/>
      <c r="D75" s="3"/>
      <c r="E75" s="3"/>
      <c r="F75" s="3"/>
      <c r="G75" s="3"/>
      <c r="H75" s="3"/>
      <c r="I75" s="3"/>
      <c r="J75" s="3"/>
    </row>
    <row r="76" spans="2:10">
      <c r="B76" s="3"/>
      <c r="C76" s="3"/>
      <c r="D76" s="3"/>
      <c r="E76" s="3"/>
      <c r="F76" s="3"/>
      <c r="G76" s="3"/>
      <c r="H76" s="3"/>
      <c r="I76" s="3"/>
      <c r="J76" s="3"/>
    </row>
    <row r="77" spans="2:10">
      <c r="B77" s="3"/>
      <c r="C77" s="3"/>
      <c r="D77" s="3"/>
      <c r="E77" s="3"/>
      <c r="F77" s="3"/>
      <c r="G77" s="3"/>
      <c r="H77" s="3"/>
      <c r="I77" s="3"/>
      <c r="J77" s="3"/>
    </row>
    <row r="78" spans="2:10">
      <c r="B78" s="3"/>
      <c r="C78" s="3"/>
      <c r="D78" s="3"/>
      <c r="E78" s="3"/>
      <c r="F78" s="3"/>
      <c r="G78" s="3"/>
      <c r="H78" s="3"/>
      <c r="I78" s="3"/>
      <c r="J78" s="3"/>
    </row>
    <row r="79" spans="2:10">
      <c r="B79" s="3"/>
      <c r="C79" s="3"/>
      <c r="D79" s="3"/>
      <c r="E79" s="3"/>
      <c r="F79" s="3"/>
      <c r="G79" s="3"/>
      <c r="H79" s="3"/>
      <c r="I79" s="3"/>
      <c r="J79" s="3"/>
    </row>
    <row r="80" spans="2:10">
      <c r="B80" s="3"/>
      <c r="C80" s="3"/>
      <c r="D80" s="3"/>
      <c r="E80" s="3"/>
      <c r="F80" s="3"/>
      <c r="G80" s="3"/>
      <c r="H80" s="3"/>
      <c r="I80" s="3"/>
      <c r="J80" s="3"/>
    </row>
    <row r="81" spans="2:10">
      <c r="B81" s="3"/>
      <c r="C81" s="3"/>
      <c r="D81" s="3"/>
      <c r="E81" s="3"/>
      <c r="F81" s="3"/>
      <c r="G81" s="3"/>
      <c r="H81" s="3"/>
      <c r="I81" s="3"/>
      <c r="J81" s="3"/>
    </row>
    <row r="82" spans="2:10">
      <c r="B82" s="3"/>
      <c r="C82" s="3"/>
      <c r="D82" s="3"/>
      <c r="E82" s="3"/>
      <c r="F82" s="3"/>
      <c r="G82" s="3"/>
      <c r="H82" s="3"/>
      <c r="I82" s="3"/>
      <c r="J82" s="3"/>
    </row>
    <row r="83" spans="2:10">
      <c r="B83" s="3"/>
      <c r="C83" s="3"/>
      <c r="D83" s="3"/>
      <c r="E83" s="3"/>
      <c r="F83" s="3"/>
      <c r="G83" s="3"/>
      <c r="H83" s="3"/>
      <c r="I83" s="3"/>
      <c r="J83" s="3"/>
    </row>
    <row r="84" spans="2:10">
      <c r="B84" s="3"/>
      <c r="C84" s="3"/>
      <c r="D84" s="3"/>
      <c r="E84" s="3"/>
      <c r="F84" s="3"/>
      <c r="G84" s="3"/>
      <c r="H84" s="3"/>
      <c r="I84" s="3"/>
      <c r="J84" s="3"/>
    </row>
    <row r="85" spans="2:10">
      <c r="B85" s="3"/>
      <c r="C85" s="3"/>
      <c r="D85" s="3"/>
      <c r="E85" s="3"/>
      <c r="F85" s="3"/>
      <c r="G85" s="3"/>
      <c r="H85" s="3"/>
      <c r="I85" s="3"/>
      <c r="J85" s="3"/>
    </row>
    <row r="86" spans="2:10">
      <c r="B86" s="3"/>
      <c r="C86" s="3"/>
      <c r="D86" s="3"/>
      <c r="E86" s="3"/>
      <c r="F86" s="3"/>
      <c r="G86" s="3"/>
      <c r="H86" s="3"/>
      <c r="I86" s="3"/>
      <c r="J86" s="3"/>
    </row>
    <row r="87" spans="2:10">
      <c r="B87" s="3"/>
      <c r="C87" s="3"/>
      <c r="D87" s="3"/>
      <c r="E87" s="3"/>
      <c r="F87" s="3"/>
      <c r="G87" s="3"/>
      <c r="H87" s="3"/>
      <c r="I87" s="3"/>
      <c r="J87" s="3"/>
    </row>
    <row r="88" spans="2:10">
      <c r="B88" s="3"/>
      <c r="C88" s="3"/>
      <c r="D88" s="3"/>
      <c r="E88" s="3"/>
      <c r="F88" s="3"/>
      <c r="G88" s="3"/>
      <c r="H88" s="3"/>
      <c r="I88" s="3"/>
      <c r="J88" s="3"/>
    </row>
    <row r="89" spans="2:10">
      <c r="B89" s="3"/>
      <c r="C89" s="3"/>
      <c r="D89" s="3"/>
      <c r="E89" s="3"/>
      <c r="F89" s="3"/>
      <c r="G89" s="3"/>
      <c r="H89" s="3"/>
      <c r="I89" s="3"/>
      <c r="J89" s="3"/>
    </row>
    <row r="90" spans="2:10">
      <c r="B90" s="3"/>
      <c r="C90" s="3"/>
      <c r="D90" s="3"/>
      <c r="E90" s="3"/>
      <c r="F90" s="3"/>
      <c r="G90" s="3"/>
      <c r="H90" s="3"/>
      <c r="I90" s="3"/>
      <c r="J90" s="3"/>
    </row>
    <row r="91" spans="2:10">
      <c r="B91" s="3"/>
      <c r="C91" s="3"/>
      <c r="D91" s="3"/>
      <c r="E91" s="3"/>
      <c r="F91" s="3"/>
      <c r="G91" s="3"/>
      <c r="H91" s="3"/>
      <c r="I91" s="3"/>
      <c r="J91" s="3"/>
    </row>
    <row r="92" spans="2:10">
      <c r="B92" s="3"/>
      <c r="C92" s="3"/>
      <c r="D92" s="3"/>
      <c r="E92" s="3"/>
      <c r="F92" s="3"/>
      <c r="G92" s="3"/>
      <c r="H92" s="3"/>
      <c r="I92" s="3"/>
      <c r="J92" s="3"/>
    </row>
    <row r="93" spans="2:10">
      <c r="B93" s="3"/>
      <c r="C93" s="3"/>
      <c r="D93" s="3"/>
      <c r="E93" s="3"/>
      <c r="F93" s="3"/>
      <c r="G93" s="3"/>
      <c r="H93" s="3"/>
      <c r="I93" s="3"/>
      <c r="J93" s="3"/>
    </row>
    <row r="94" spans="2:10">
      <c r="B94" s="3"/>
      <c r="C94" s="3"/>
      <c r="D94" s="3"/>
      <c r="E94" s="3"/>
      <c r="F94" s="3"/>
      <c r="G94" s="3"/>
      <c r="H94" s="3"/>
      <c r="I94" s="3"/>
      <c r="J94" s="3"/>
    </row>
    <row r="95" spans="2:10">
      <c r="B95" s="3"/>
      <c r="C95" s="3"/>
      <c r="D95" s="3"/>
      <c r="E95" s="3"/>
      <c r="F95" s="3"/>
      <c r="G95" s="3"/>
      <c r="H95" s="3"/>
      <c r="I95" s="3"/>
      <c r="J95" s="3"/>
    </row>
    <row r="96" spans="2:10">
      <c r="B96" s="3"/>
      <c r="C96" s="3"/>
      <c r="D96" s="3"/>
      <c r="E96" s="3"/>
      <c r="F96" s="3"/>
      <c r="G96" s="3"/>
      <c r="H96" s="3"/>
      <c r="I96" s="3"/>
      <c r="J96" s="3"/>
    </row>
    <row r="97" spans="2:10">
      <c r="B97" s="3"/>
      <c r="C97" s="3"/>
      <c r="D97" s="3"/>
      <c r="E97" s="3"/>
      <c r="F97" s="3"/>
      <c r="G97" s="3"/>
      <c r="H97" s="3"/>
      <c r="I97" s="3"/>
      <c r="J97" s="3"/>
    </row>
    <row r="98" spans="2:10">
      <c r="B98" s="3"/>
      <c r="C98" s="3"/>
      <c r="D98" s="3"/>
      <c r="E98" s="3"/>
      <c r="F98" s="3"/>
      <c r="G98" s="3"/>
      <c r="H98" s="3"/>
      <c r="I98" s="3"/>
      <c r="J98" s="3"/>
    </row>
    <row r="99" spans="2:10">
      <c r="B99" s="3"/>
      <c r="C99" s="3"/>
      <c r="D99" s="3"/>
      <c r="E99" s="3"/>
      <c r="F99" s="3"/>
      <c r="G99" s="3"/>
      <c r="H99" s="3"/>
      <c r="I99" s="3"/>
      <c r="J99" s="3"/>
    </row>
    <row r="100" spans="2:10">
      <c r="B100" s="3"/>
      <c r="C100" s="3"/>
      <c r="D100" s="3"/>
      <c r="E100" s="3"/>
      <c r="F100" s="3"/>
      <c r="G100" s="3"/>
      <c r="H100" s="3"/>
      <c r="I100" s="3"/>
      <c r="J100" s="3"/>
    </row>
    <row r="101" spans="2:10">
      <c r="B101" s="3"/>
      <c r="C101" s="3"/>
      <c r="D101" s="3"/>
      <c r="E101" s="3"/>
      <c r="F101" s="3"/>
      <c r="G101" s="3"/>
      <c r="H101" s="3"/>
      <c r="I101" s="3"/>
      <c r="J101" s="3"/>
    </row>
    <row r="102" spans="2:10">
      <c r="B102" s="3"/>
      <c r="C102" s="3"/>
      <c r="D102" s="3"/>
      <c r="E102" s="3"/>
      <c r="F102" s="3"/>
      <c r="G102" s="3"/>
      <c r="H102" s="3"/>
      <c r="I102" s="3"/>
      <c r="J102" s="3"/>
    </row>
    <row r="103" spans="2:10">
      <c r="B103" s="3"/>
      <c r="C103" s="3"/>
      <c r="D103" s="3"/>
      <c r="E103" s="3"/>
      <c r="F103" s="3"/>
      <c r="G103" s="3"/>
      <c r="H103" s="3"/>
      <c r="I103" s="3"/>
      <c r="J103" s="3"/>
    </row>
    <row r="104" spans="2:10">
      <c r="B104" s="3"/>
      <c r="C104" s="3"/>
      <c r="D104" s="3"/>
      <c r="E104" s="3"/>
      <c r="F104" s="3"/>
      <c r="G104" s="3"/>
      <c r="H104" s="3"/>
      <c r="I104" s="3"/>
      <c r="J104" s="3"/>
    </row>
    <row r="105" spans="2:10">
      <c r="B105" s="3"/>
      <c r="C105" s="3"/>
      <c r="D105" s="3"/>
      <c r="E105" s="3"/>
      <c r="F105" s="3"/>
      <c r="G105" s="3"/>
      <c r="H105" s="3"/>
      <c r="I105" s="3"/>
      <c r="J105" s="3"/>
    </row>
    <row r="106" spans="2:10">
      <c r="B106" s="3"/>
      <c r="C106" s="3"/>
      <c r="D106" s="3"/>
      <c r="E106" s="3"/>
      <c r="F106" s="3"/>
      <c r="G106" s="3"/>
      <c r="H106" s="3"/>
      <c r="I106" s="3"/>
      <c r="J106" s="3"/>
    </row>
    <row r="107" spans="2:10">
      <c r="B107" s="3"/>
      <c r="C107" s="3"/>
      <c r="D107" s="3"/>
      <c r="E107" s="3"/>
      <c r="F107" s="3"/>
      <c r="G107" s="3"/>
      <c r="H107" s="3"/>
      <c r="I107" s="3"/>
      <c r="J107" s="3"/>
    </row>
    <row r="108" spans="2:10">
      <c r="B108" s="3"/>
      <c r="C108" s="3"/>
      <c r="D108" s="3"/>
      <c r="E108" s="3"/>
      <c r="F108" s="3"/>
      <c r="G108" s="3"/>
      <c r="H108" s="3"/>
      <c r="I108" s="3"/>
      <c r="J108" s="3"/>
    </row>
    <row r="109" spans="2:10">
      <c r="B109" s="3"/>
      <c r="C109" s="3"/>
      <c r="D109" s="3"/>
      <c r="E109" s="3"/>
      <c r="F109" s="3"/>
      <c r="G109" s="3"/>
      <c r="H109" s="3"/>
      <c r="I109" s="3"/>
      <c r="J109" s="3"/>
    </row>
    <row r="110" spans="2:10">
      <c r="B110" s="3"/>
      <c r="C110" s="3"/>
      <c r="D110" s="3"/>
      <c r="E110" s="3"/>
      <c r="F110" s="3"/>
      <c r="G110" s="3"/>
      <c r="H110" s="3"/>
      <c r="I110" s="3"/>
      <c r="J110" s="3"/>
    </row>
    <row r="111" spans="2:10">
      <c r="B111" s="3"/>
      <c r="C111" s="3"/>
      <c r="D111" s="3"/>
      <c r="E111" s="3"/>
      <c r="F111" s="3"/>
      <c r="G111" s="3"/>
      <c r="H111" s="3"/>
      <c r="I111" s="3"/>
      <c r="J111" s="3"/>
    </row>
    <row r="112" spans="2:10">
      <c r="B112" s="3"/>
      <c r="C112" s="3"/>
      <c r="D112" s="3"/>
      <c r="E112" s="3"/>
      <c r="F112" s="3"/>
      <c r="G112" s="3"/>
      <c r="H112" s="3"/>
      <c r="I112" s="3"/>
      <c r="J112" s="3"/>
    </row>
    <row r="113" spans="2:10">
      <c r="B113" s="3"/>
      <c r="C113" s="3"/>
      <c r="D113" s="3"/>
      <c r="E113" s="3"/>
      <c r="F113" s="3"/>
      <c r="G113" s="3"/>
      <c r="H113" s="3"/>
      <c r="I113" s="3"/>
      <c r="J113" s="3"/>
    </row>
    <row r="114" spans="2:10">
      <c r="B114" s="3"/>
      <c r="C114" s="3"/>
      <c r="D114" s="3"/>
      <c r="E114" s="3"/>
      <c r="F114" s="3"/>
      <c r="G114" s="3"/>
      <c r="H114" s="3"/>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ht="14.25" customHeight="1">
      <c r="B189" s="3"/>
      <c r="C189" s="3"/>
      <c r="D189" s="3"/>
      <c r="E189" s="3"/>
      <c r="F189" s="3"/>
      <c r="G189" s="3"/>
      <c r="H189" s="3"/>
      <c r="I189" s="3"/>
      <c r="J189" s="3"/>
    </row>
    <row r="190" spans="2:10" ht="12.75" customHeight="1">
      <c r="B190" s="3"/>
      <c r="C190" s="3"/>
      <c r="D190" s="3"/>
      <c r="E190" s="3"/>
      <c r="F190" s="3"/>
      <c r="G190" s="3"/>
      <c r="H190" s="3"/>
      <c r="I190" s="3"/>
      <c r="J190" s="3"/>
    </row>
    <row r="191" spans="2:10" ht="12.75" customHeight="1">
      <c r="B191" s="3"/>
      <c r="C191" s="3"/>
      <c r="D191" s="3"/>
      <c r="E191" s="3"/>
      <c r="F191" s="3"/>
      <c r="G191" s="3"/>
      <c r="H191" s="3"/>
      <c r="I191" s="3"/>
      <c r="J191" s="3"/>
    </row>
    <row r="192" spans="2:10" ht="12.75" customHeight="1">
      <c r="B192" s="3"/>
      <c r="C192" s="3"/>
      <c r="D192" s="3"/>
      <c r="E192" s="3"/>
      <c r="F192" s="3"/>
      <c r="G192" s="3"/>
      <c r="H192" s="3"/>
      <c r="I192" s="3"/>
      <c r="J192" s="3"/>
    </row>
    <row r="193" spans="2:10" ht="12.75" customHeight="1">
      <c r="B193" s="3"/>
      <c r="C193" s="3"/>
      <c r="D193" s="3"/>
      <c r="E193" s="3"/>
      <c r="F193" s="3"/>
      <c r="G193" s="3"/>
      <c r="H193" s="3"/>
      <c r="I193" s="3"/>
      <c r="J193" s="3"/>
    </row>
    <row r="194" spans="2:10" ht="12.75" customHeight="1">
      <c r="B194" s="3"/>
      <c r="C194" s="3"/>
      <c r="D194" s="3"/>
      <c r="E194" s="3"/>
      <c r="F194" s="3"/>
      <c r="G194" s="3"/>
      <c r="H194" s="3"/>
      <c r="I194" s="3"/>
      <c r="J194" s="3"/>
    </row>
    <row r="195" spans="2:10" ht="12.75" customHeight="1">
      <c r="B195" s="3"/>
      <c r="C195" s="3"/>
      <c r="D195" s="3"/>
      <c r="E195" s="3"/>
      <c r="F195" s="3"/>
      <c r="G195" s="3"/>
      <c r="H195" s="3"/>
      <c r="I195" s="3"/>
      <c r="J195" s="3"/>
    </row>
    <row r="196" spans="2:10" ht="12.75" customHeight="1">
      <c r="B196" s="3"/>
      <c r="C196" s="3"/>
      <c r="D196" s="3"/>
      <c r="E196" s="3"/>
      <c r="F196" s="3"/>
      <c r="G196" s="3"/>
      <c r="H196" s="3"/>
      <c r="I196" s="3"/>
      <c r="J196" s="3"/>
    </row>
    <row r="197" spans="2:10" ht="12.75" customHeight="1">
      <c r="B197" s="3"/>
      <c r="C197" s="3"/>
      <c r="D197" s="3"/>
      <c r="E197" s="3"/>
      <c r="F197" s="3"/>
      <c r="G197" s="3"/>
      <c r="H197" s="3"/>
      <c r="I197" s="3"/>
      <c r="J197" s="3"/>
    </row>
    <row r="198" spans="2:10" ht="12.75" customHeight="1">
      <c r="B198" s="3"/>
      <c r="C198" s="3"/>
      <c r="D198" s="3"/>
      <c r="E198" s="3"/>
      <c r="F198" s="3"/>
      <c r="G198" s="3"/>
      <c r="H198" s="3"/>
      <c r="I198" s="3"/>
      <c r="J198" s="3"/>
    </row>
    <row r="199" spans="2:10" ht="12.75" customHeight="1">
      <c r="B199" s="3"/>
      <c r="C199" s="3"/>
      <c r="D199" s="3"/>
      <c r="E199" s="3"/>
      <c r="F199" s="3"/>
      <c r="G199" s="3"/>
      <c r="H199" s="3"/>
      <c r="I199" s="3"/>
      <c r="J199" s="3"/>
    </row>
    <row r="200" spans="2:10" ht="12.75" customHeight="1">
      <c r="B200" s="3"/>
      <c r="C200" s="3"/>
      <c r="D200" s="3"/>
      <c r="E200" s="3"/>
      <c r="F200" s="3"/>
      <c r="G200" s="3"/>
      <c r="H200" s="3"/>
      <c r="I200" s="3"/>
      <c r="J200" s="3"/>
    </row>
    <row r="201" spans="2:10" ht="12.75" customHeight="1">
      <c r="B201" s="3"/>
      <c r="C201" s="3"/>
      <c r="D201" s="3"/>
      <c r="E201" s="3"/>
      <c r="F201" s="3"/>
      <c r="G201" s="3"/>
      <c r="H201" s="3"/>
      <c r="I201" s="3"/>
      <c r="J201" s="3"/>
    </row>
    <row r="202" spans="2:10" ht="12.75" customHeight="1">
      <c r="B202" s="3"/>
      <c r="C202" s="3"/>
      <c r="D202" s="3"/>
      <c r="E202" s="3"/>
      <c r="F202" s="3"/>
      <c r="G202" s="3"/>
      <c r="H202" s="3"/>
      <c r="I202" s="3"/>
      <c r="J202" s="3"/>
    </row>
    <row r="203" spans="2:10" ht="12.75" customHeight="1">
      <c r="B203" s="3"/>
      <c r="C203" s="3"/>
      <c r="D203" s="3"/>
      <c r="E203" s="3"/>
      <c r="F203" s="3"/>
      <c r="G203" s="3"/>
      <c r="H203" s="3"/>
      <c r="I203" s="3"/>
      <c r="J203" s="3"/>
    </row>
    <row r="204" spans="2:10" ht="12.75" customHeight="1">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sheetData>
  <mergeCells count="7">
    <mergeCell ref="A3:I3"/>
    <mergeCell ref="A4:I4"/>
    <mergeCell ref="A5:I5"/>
    <mergeCell ref="E10:E11"/>
    <mergeCell ref="A6:I6"/>
    <mergeCell ref="G10:G11"/>
    <mergeCell ref="I10:I11"/>
  </mergeCells>
  <phoneticPr fontId="0" type="noConversion"/>
  <pageMargins left="0.26" right="1.28" top="1" bottom="1" header="0.75" footer="0.5"/>
  <pageSetup scale="55" orientation="portrait" r:id="rId1"/>
  <headerFooter alignWithMargins="0">
    <oddHeader>&amp;R&amp;"Arial,Bold"Formula Rate
 &amp;A
Page &amp;P of &amp;N</oddHeader>
  </headerFooter>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S197"/>
  <sheetViews>
    <sheetView view="pageBreakPreview" topLeftCell="E1" zoomScale="60" zoomScaleNormal="50" workbookViewId="0">
      <selection activeCell="J173" sqref="J173"/>
    </sheetView>
  </sheetViews>
  <sheetFormatPr defaultRowHeight="12.75"/>
  <cols>
    <col min="1" max="1" width="6.85546875" style="742" customWidth="1"/>
    <col min="2" max="2" width="57.7109375" style="741" bestFit="1" customWidth="1"/>
    <col min="3" max="4" width="14.85546875" style="741" customWidth="1"/>
    <col min="5" max="6" width="14.28515625" style="741" customWidth="1"/>
    <col min="7" max="7" width="15.28515625" style="741" bestFit="1" customWidth="1"/>
    <col min="8" max="8" width="9.140625" style="741"/>
    <col min="9" max="9" width="13.140625" style="741" bestFit="1" customWidth="1"/>
    <col min="10" max="10" width="15" style="741" bestFit="1" customWidth="1"/>
    <col min="11" max="11" width="13.5703125" style="741" bestFit="1" customWidth="1"/>
    <col min="12" max="12" width="9.140625" style="741"/>
    <col min="13" max="13" width="13.140625" style="741" bestFit="1" customWidth="1"/>
    <col min="14" max="14" width="15" style="741" bestFit="1" customWidth="1"/>
    <col min="15" max="15" width="13.5703125" style="741" bestFit="1" customWidth="1"/>
    <col min="16" max="16" width="9.140625" style="741"/>
    <col min="17" max="17" width="13.140625" style="741" bestFit="1" customWidth="1"/>
    <col min="18" max="18" width="15" style="741" bestFit="1" customWidth="1"/>
    <col min="19" max="19" width="13.5703125" style="741" bestFit="1" customWidth="1"/>
    <col min="20" max="16384" width="9.140625" style="741"/>
  </cols>
  <sheetData>
    <row r="1" spans="1:19">
      <c r="A1" s="757"/>
      <c r="B1" s="773" t="str">
        <f>TCOS!F9</f>
        <v>AEP Ohio Transmission Company</v>
      </c>
      <c r="C1" s="745"/>
      <c r="D1" s="745"/>
      <c r="E1" s="745"/>
      <c r="F1" s="745"/>
      <c r="M1" s="745"/>
      <c r="N1" s="745"/>
      <c r="O1" s="745"/>
      <c r="P1" s="745"/>
      <c r="Q1" s="745"/>
      <c r="R1" s="745"/>
    </row>
    <row r="2" spans="1:19">
      <c r="A2" s="757"/>
      <c r="B2" s="744" t="s">
        <v>637</v>
      </c>
      <c r="C2" s="745"/>
      <c r="D2" s="745"/>
      <c r="E2" s="745"/>
      <c r="F2" s="745"/>
      <c r="M2" s="745"/>
      <c r="N2" s="745"/>
      <c r="O2" s="745"/>
      <c r="P2" s="745"/>
      <c r="Q2" s="745"/>
      <c r="R2" s="745"/>
    </row>
    <row r="3" spans="1:19">
      <c r="A3" s="757"/>
      <c r="B3" s="766" t="str">
        <f>"PERIOD ENDED DECEMBER 31, "&amp;TCOS!L4</f>
        <v>PERIOD ENDED DECEMBER 31, 2026</v>
      </c>
      <c r="C3" s="745"/>
      <c r="D3" s="745"/>
      <c r="E3" s="745"/>
      <c r="F3" s="745"/>
      <c r="G3" s="745"/>
      <c r="H3" s="745"/>
      <c r="I3" s="745"/>
      <c r="J3" s="745"/>
      <c r="K3" s="745"/>
      <c r="L3" s="745"/>
      <c r="M3" s="745"/>
      <c r="N3" s="745"/>
      <c r="O3" s="745"/>
      <c r="P3" s="745"/>
      <c r="Q3" s="745"/>
      <c r="R3" s="745"/>
      <c r="S3" s="745"/>
    </row>
    <row r="4" spans="1:19">
      <c r="A4" s="757"/>
      <c r="B4" s="745"/>
      <c r="C4" s="745"/>
      <c r="D4" s="745"/>
      <c r="E4" s="745"/>
      <c r="F4" s="745"/>
      <c r="G4" s="742" t="s">
        <v>638</v>
      </c>
      <c r="H4" s="742"/>
      <c r="I4" s="742"/>
      <c r="J4" s="742"/>
      <c r="K4" s="742"/>
      <c r="L4" s="742"/>
      <c r="M4" s="745"/>
      <c r="N4" s="745"/>
      <c r="O4" s="745"/>
      <c r="P4" s="745"/>
      <c r="Q4" s="745"/>
      <c r="R4" s="745"/>
      <c r="S4" s="745"/>
    </row>
    <row r="5" spans="1:19">
      <c r="A5" s="757"/>
      <c r="B5" s="745"/>
      <c r="C5" s="745"/>
      <c r="D5" s="745"/>
      <c r="E5" s="745"/>
      <c r="F5" s="745"/>
      <c r="G5" s="745"/>
      <c r="H5" s="745"/>
      <c r="I5" s="745"/>
      <c r="J5" s="745"/>
      <c r="K5" s="745"/>
      <c r="L5" s="745"/>
      <c r="M5" s="745"/>
      <c r="N5" s="745"/>
      <c r="O5" s="745"/>
      <c r="P5" s="745"/>
      <c r="Q5" s="745"/>
      <c r="R5" s="745"/>
      <c r="S5" s="745"/>
    </row>
    <row r="6" spans="1:19">
      <c r="A6" s="757"/>
      <c r="B6" s="745"/>
      <c r="C6" s="745"/>
      <c r="D6" s="745"/>
      <c r="E6" s="745"/>
      <c r="F6" s="745"/>
      <c r="G6" s="745"/>
      <c r="H6" s="745"/>
      <c r="I6" s="745"/>
      <c r="J6" s="745"/>
      <c r="K6" s="745"/>
      <c r="L6" s="745"/>
      <c r="M6" s="745"/>
      <c r="N6" s="745"/>
      <c r="O6" s="745"/>
      <c r="P6" s="745"/>
      <c r="Q6" s="745"/>
      <c r="R6" s="745"/>
      <c r="S6" s="745"/>
    </row>
    <row r="7" spans="1:19">
      <c r="A7" s="757"/>
      <c r="B7" s="745"/>
      <c r="C7" s="745"/>
      <c r="D7" s="745"/>
      <c r="E7" s="745"/>
      <c r="F7" s="745"/>
      <c r="G7" s="745"/>
      <c r="H7" s="745"/>
      <c r="I7" s="745"/>
      <c r="J7" s="745"/>
      <c r="K7" s="745"/>
      <c r="L7" s="745"/>
      <c r="M7" s="745"/>
      <c r="N7" s="745"/>
      <c r="O7" s="745"/>
      <c r="P7" s="745"/>
      <c r="Q7" s="745"/>
      <c r="R7" s="745"/>
      <c r="S7" s="745"/>
    </row>
    <row r="8" spans="1:19">
      <c r="A8" s="757"/>
      <c r="B8" s="746" t="s">
        <v>639</v>
      </c>
      <c r="C8" s="746" t="s">
        <v>640</v>
      </c>
      <c r="D8" s="746" t="s">
        <v>641</v>
      </c>
      <c r="E8" s="746" t="s">
        <v>642</v>
      </c>
      <c r="F8" s="746" t="s">
        <v>643</v>
      </c>
      <c r="G8" s="746" t="s">
        <v>644</v>
      </c>
      <c r="H8" s="746"/>
      <c r="I8" s="746" t="s">
        <v>645</v>
      </c>
      <c r="J8" s="746" t="s">
        <v>646</v>
      </c>
      <c r="K8" s="746" t="s">
        <v>647</v>
      </c>
      <c r="L8" s="746"/>
      <c r="M8" s="746" t="s">
        <v>648</v>
      </c>
      <c r="N8" s="746" t="s">
        <v>649</v>
      </c>
      <c r="O8" s="746" t="s">
        <v>650</v>
      </c>
      <c r="P8" s="745"/>
      <c r="Q8" s="746" t="s">
        <v>651</v>
      </c>
      <c r="R8" s="746" t="s">
        <v>652</v>
      </c>
      <c r="S8" s="746" t="s">
        <v>653</v>
      </c>
    </row>
    <row r="9" spans="1:19">
      <c r="A9" s="757"/>
      <c r="B9" s="745"/>
      <c r="C9" s="745"/>
      <c r="D9" s="745"/>
      <c r="E9" s="745"/>
      <c r="F9" s="745"/>
      <c r="G9" s="745"/>
      <c r="H9" s="745"/>
      <c r="I9" s="745"/>
      <c r="J9" s="745"/>
      <c r="K9" s="745"/>
      <c r="L9" s="745"/>
      <c r="M9" s="745"/>
      <c r="N9" s="745"/>
      <c r="O9" s="745"/>
      <c r="P9" s="745"/>
      <c r="Q9" s="745"/>
      <c r="R9" s="745"/>
      <c r="S9" s="745"/>
    </row>
    <row r="10" spans="1:19">
      <c r="A10" s="757"/>
      <c r="B10" s="745"/>
      <c r="C10" s="747" t="s">
        <v>654</v>
      </c>
      <c r="D10" s="747"/>
      <c r="E10" s="748" t="s">
        <v>655</v>
      </c>
      <c r="F10" s="747"/>
      <c r="G10" s="742" t="s">
        <v>656</v>
      </c>
      <c r="H10" s="742"/>
      <c r="I10" s="747" t="s">
        <v>657</v>
      </c>
      <c r="J10" s="747"/>
      <c r="K10" s="747"/>
      <c r="L10" s="742"/>
      <c r="M10" s="747" t="str">
        <f>"FUNCTIONALIZATION 12/31/"&amp;TCOS!L4-1</f>
        <v>FUNCTIONALIZATION 12/31/2025</v>
      </c>
      <c r="N10" s="747"/>
      <c r="O10" s="747"/>
      <c r="P10" s="745"/>
      <c r="Q10" s="747" t="str">
        <f>"FUNCTIONALIZATION 12/31/"&amp;TCOS!L4</f>
        <v>FUNCTIONALIZATION 12/31/2026</v>
      </c>
      <c r="R10" s="747"/>
      <c r="S10" s="747"/>
    </row>
    <row r="11" spans="1:19">
      <c r="A11" s="757"/>
      <c r="B11" s="745"/>
      <c r="C11" s="749"/>
      <c r="D11" s="749"/>
      <c r="E11" s="745"/>
      <c r="F11" s="745"/>
      <c r="G11" s="742" t="s">
        <v>658</v>
      </c>
      <c r="H11" s="742"/>
      <c r="I11" s="749"/>
      <c r="J11" s="749"/>
      <c r="K11" s="749"/>
      <c r="L11" s="742"/>
      <c r="M11" s="749"/>
      <c r="N11" s="749"/>
      <c r="O11" s="749"/>
      <c r="P11" s="745"/>
      <c r="Q11" s="749"/>
      <c r="R11" s="749"/>
      <c r="S11" s="749"/>
    </row>
    <row r="12" spans="1:19" s="768" customFormat="1">
      <c r="A12" s="769"/>
      <c r="B12" s="767"/>
      <c r="C12" s="770" t="s">
        <v>659</v>
      </c>
      <c r="D12" s="770" t="s">
        <v>659</v>
      </c>
      <c r="E12" s="770" t="s">
        <v>659</v>
      </c>
      <c r="F12" s="770" t="s">
        <v>659</v>
      </c>
      <c r="G12" s="770" t="s">
        <v>660</v>
      </c>
      <c r="H12" s="770"/>
      <c r="I12" s="767"/>
      <c r="J12" s="767"/>
      <c r="K12" s="767"/>
      <c r="L12" s="770"/>
      <c r="M12" s="767"/>
      <c r="N12" s="767"/>
      <c r="O12" s="767"/>
      <c r="P12" s="767"/>
      <c r="Q12" s="767"/>
      <c r="R12" s="767"/>
      <c r="S12" s="767"/>
    </row>
    <row r="13" spans="1:19" s="768" customFormat="1">
      <c r="A13" s="769"/>
      <c r="B13" s="771" t="s">
        <v>661</v>
      </c>
      <c r="C13" s="771" t="str">
        <f>"OF 12-31-"&amp;TCOS!L4-1</f>
        <v>OF 12-31-2025</v>
      </c>
      <c r="D13" s="771" t="str">
        <f>"OF 12-31-"&amp;TCOS!L4</f>
        <v>OF 12-31-2026</v>
      </c>
      <c r="E13" s="771" t="str">
        <f>"OF 12-31-"&amp;TCOS!L4-1</f>
        <v>OF 12-31-2025</v>
      </c>
      <c r="F13" s="771" t="str">
        <f>"OF 12-31-"&amp;TCOS!L4</f>
        <v>OF 12-31-2026</v>
      </c>
      <c r="G13" s="771" t="s">
        <v>662</v>
      </c>
      <c r="H13" s="771"/>
      <c r="I13" s="771" t="s">
        <v>663</v>
      </c>
      <c r="J13" s="771" t="s">
        <v>664</v>
      </c>
      <c r="K13" s="771" t="s">
        <v>665</v>
      </c>
      <c r="L13" s="771"/>
      <c r="M13" s="771" t="s">
        <v>663</v>
      </c>
      <c r="N13" s="771" t="s">
        <v>664</v>
      </c>
      <c r="O13" s="771" t="s">
        <v>665</v>
      </c>
      <c r="P13" s="767"/>
      <c r="Q13" s="771" t="s">
        <v>663</v>
      </c>
      <c r="R13" s="771" t="s">
        <v>664</v>
      </c>
      <c r="S13" s="771" t="s">
        <v>665</v>
      </c>
    </row>
    <row r="14" spans="1:19">
      <c r="A14" s="757"/>
      <c r="B14" s="745"/>
      <c r="C14" s="745"/>
      <c r="D14" s="745"/>
      <c r="E14" s="745"/>
      <c r="F14" s="745"/>
      <c r="G14" s="745"/>
      <c r="H14" s="745"/>
      <c r="I14" s="745"/>
      <c r="J14" s="745"/>
      <c r="K14" s="745"/>
      <c r="L14" s="745"/>
      <c r="M14" s="745"/>
      <c r="N14" s="745"/>
      <c r="O14" s="745"/>
      <c r="P14" s="745"/>
      <c r="Q14" s="745"/>
      <c r="R14" s="745"/>
      <c r="S14" s="745"/>
    </row>
    <row r="15" spans="1:19">
      <c r="A15" s="765">
        <v>1</v>
      </c>
      <c r="B15" s="743" t="s">
        <v>666</v>
      </c>
      <c r="C15" s="751"/>
      <c r="D15" s="751"/>
      <c r="E15" s="751"/>
      <c r="F15" s="752"/>
      <c r="G15" s="751"/>
      <c r="H15" s="751"/>
      <c r="I15" s="751"/>
      <c r="J15" s="751"/>
      <c r="K15" s="751"/>
      <c r="L15" s="751"/>
      <c r="M15" s="751"/>
      <c r="N15" s="751"/>
      <c r="O15" s="751"/>
      <c r="P15" s="751"/>
      <c r="Q15" s="751"/>
      <c r="R15" s="751"/>
      <c r="S15" s="751"/>
    </row>
    <row r="16" spans="1:19">
      <c r="A16" s="765">
        <v>2.0099999999999998</v>
      </c>
      <c r="B16" s="743"/>
      <c r="C16" s="751"/>
      <c r="D16" s="751"/>
      <c r="E16" s="751"/>
      <c r="F16" s="751"/>
      <c r="G16" s="751"/>
      <c r="H16" s="751"/>
      <c r="I16" s="751"/>
      <c r="J16" s="751"/>
      <c r="K16" s="751"/>
      <c r="L16" s="751"/>
      <c r="M16" s="751"/>
      <c r="N16" s="751"/>
      <c r="O16" s="751"/>
      <c r="P16" s="751"/>
      <c r="Q16" s="751"/>
      <c r="R16" s="751"/>
      <c r="S16" s="751"/>
    </row>
    <row r="17" spans="1:19">
      <c r="A17" s="765">
        <v>2.02</v>
      </c>
      <c r="B17" s="743"/>
      <c r="C17" s="751">
        <f>SUM(M17:O17)</f>
        <v>0</v>
      </c>
      <c r="D17" s="751">
        <f>SUM(Q17:S17)</f>
        <v>0</v>
      </c>
      <c r="E17" s="751"/>
      <c r="F17" s="751"/>
      <c r="G17" s="751">
        <f>ROUND(SUM(C17:F17)/2,0)</f>
        <v>0</v>
      </c>
      <c r="H17" s="751"/>
      <c r="I17" s="751">
        <f>(M17+Q17)/2</f>
        <v>0</v>
      </c>
      <c r="J17" s="751">
        <f>(N17+R17)/2</f>
        <v>0</v>
      </c>
      <c r="K17" s="751">
        <f>(O17+S17)/2</f>
        <v>0</v>
      </c>
      <c r="L17" s="751"/>
      <c r="M17" s="743"/>
      <c r="N17" s="743"/>
      <c r="O17" s="743"/>
      <c r="P17" s="751"/>
      <c r="Q17" s="743"/>
      <c r="R17" s="743"/>
      <c r="S17" s="743"/>
    </row>
    <row r="18" spans="1:19">
      <c r="A18" s="765">
        <v>2.0299999999999998</v>
      </c>
      <c r="B18" s="743"/>
      <c r="C18" s="751"/>
      <c r="D18" s="751"/>
      <c r="E18" s="751"/>
      <c r="F18" s="751"/>
      <c r="G18" s="751"/>
      <c r="H18" s="751"/>
      <c r="I18" s="751"/>
      <c r="J18" s="751"/>
      <c r="K18" s="751"/>
      <c r="L18" s="751"/>
      <c r="M18" s="751"/>
      <c r="N18" s="751"/>
      <c r="O18" s="751"/>
      <c r="P18" s="751"/>
      <c r="Q18" s="751"/>
      <c r="R18" s="751"/>
      <c r="S18" s="751"/>
    </row>
    <row r="19" spans="1:19">
      <c r="A19" s="765">
        <v>2.04</v>
      </c>
      <c r="B19" s="743"/>
      <c r="C19" s="751">
        <v>0</v>
      </c>
      <c r="D19" s="751">
        <v>0</v>
      </c>
      <c r="E19" s="751">
        <f t="shared" ref="E19:F21" si="0">-C19</f>
        <v>0</v>
      </c>
      <c r="F19" s="751">
        <f t="shared" si="0"/>
        <v>0</v>
      </c>
      <c r="G19" s="751">
        <f>ROUND(SUM(C19:F19)/2,0)</f>
        <v>0</v>
      </c>
      <c r="H19" s="751"/>
      <c r="I19" s="751"/>
      <c r="J19" s="751"/>
      <c r="K19" s="751"/>
      <c r="L19" s="751"/>
      <c r="M19" s="751"/>
      <c r="N19" s="751"/>
      <c r="O19" s="751"/>
      <c r="P19" s="751"/>
      <c r="Q19" s="751"/>
      <c r="R19" s="751"/>
      <c r="S19" s="751"/>
    </row>
    <row r="20" spans="1:19">
      <c r="A20" s="765">
        <v>2.0499999999999998</v>
      </c>
      <c r="B20" s="743"/>
      <c r="C20" s="751">
        <v>0</v>
      </c>
      <c r="D20" s="751">
        <v>0</v>
      </c>
      <c r="E20" s="751">
        <f t="shared" si="0"/>
        <v>0</v>
      </c>
      <c r="F20" s="751">
        <f t="shared" si="0"/>
        <v>0</v>
      </c>
      <c r="G20" s="751">
        <f>ROUND(SUM(C20:F20)/2,0)</f>
        <v>0</v>
      </c>
      <c r="H20" s="751"/>
      <c r="I20" s="751"/>
      <c r="J20" s="751"/>
      <c r="K20" s="751"/>
      <c r="L20" s="751"/>
      <c r="M20" s="751"/>
      <c r="N20" s="751"/>
      <c r="O20" s="751"/>
      <c r="P20" s="751"/>
      <c r="Q20" s="751"/>
      <c r="R20" s="751"/>
      <c r="S20" s="751"/>
    </row>
    <row r="21" spans="1:19">
      <c r="A21" s="765">
        <v>2.06</v>
      </c>
      <c r="B21" s="743"/>
      <c r="C21" s="751">
        <v>0</v>
      </c>
      <c r="D21" s="751">
        <v>0</v>
      </c>
      <c r="E21" s="751">
        <f t="shared" si="0"/>
        <v>0</v>
      </c>
      <c r="F21" s="751">
        <f t="shared" si="0"/>
        <v>0</v>
      </c>
      <c r="G21" s="751">
        <f>ROUND(SUM(C21:F21)/2,0)</f>
        <v>0</v>
      </c>
      <c r="H21" s="751"/>
      <c r="I21" s="751"/>
      <c r="J21" s="751"/>
      <c r="K21" s="751"/>
      <c r="L21" s="751"/>
      <c r="M21" s="751"/>
      <c r="N21" s="751"/>
      <c r="O21" s="751"/>
      <c r="P21" s="751"/>
      <c r="Q21" s="751"/>
      <c r="R21" s="751"/>
      <c r="S21" s="751"/>
    </row>
    <row r="22" spans="1:19">
      <c r="A22" s="758"/>
      <c r="B22" s="745"/>
      <c r="C22" s="751"/>
      <c r="D22" s="751"/>
      <c r="E22" s="751"/>
      <c r="F22" s="751"/>
      <c r="G22" s="751"/>
      <c r="H22" s="751"/>
      <c r="I22" s="751"/>
      <c r="J22" s="751"/>
      <c r="K22" s="751"/>
      <c r="L22" s="751"/>
      <c r="M22" s="751"/>
      <c r="N22" s="751"/>
      <c r="O22" s="751"/>
      <c r="P22" s="751"/>
      <c r="Q22" s="751"/>
      <c r="R22" s="751"/>
      <c r="S22" s="751"/>
    </row>
    <row r="23" spans="1:19" ht="13.5" thickBot="1">
      <c r="A23" s="758">
        <v>3</v>
      </c>
      <c r="B23" s="741" t="s">
        <v>667</v>
      </c>
      <c r="C23" s="753">
        <f>SUM(C17:C22)</f>
        <v>0</v>
      </c>
      <c r="D23" s="753">
        <f>SUM(D17:D22)</f>
        <v>0</v>
      </c>
      <c r="E23" s="753">
        <f>SUM(E17:E22)</f>
        <v>0</v>
      </c>
      <c r="F23" s="753">
        <f>SUM(F17:F22)</f>
        <v>0</v>
      </c>
      <c r="G23" s="753">
        <f>SUM(G17:G22)</f>
        <v>0</v>
      </c>
      <c r="H23" s="751"/>
      <c r="I23" s="753">
        <f>SUM(I17:I22)</f>
        <v>0</v>
      </c>
      <c r="J23" s="753">
        <f>SUM(J17:J22)</f>
        <v>0</v>
      </c>
      <c r="K23" s="753">
        <f>SUM(K17:K22)</f>
        <v>0</v>
      </c>
      <c r="L23" s="751"/>
      <c r="M23" s="753">
        <f>SUM(M17:M22)</f>
        <v>0</v>
      </c>
      <c r="N23" s="753">
        <f>SUM(N17:N22)</f>
        <v>0</v>
      </c>
      <c r="O23" s="753">
        <f>SUM(O17:O22)</f>
        <v>0</v>
      </c>
      <c r="P23" s="751"/>
      <c r="Q23" s="753">
        <f>SUM(Q17:Q22)</f>
        <v>0</v>
      </c>
      <c r="R23" s="753">
        <f>SUM(R17:R22)</f>
        <v>0</v>
      </c>
      <c r="S23" s="753">
        <f>SUM(S17:S22)</f>
        <v>0</v>
      </c>
    </row>
    <row r="24" spans="1:19" ht="13.5" thickTop="1">
      <c r="A24" s="758">
        <f>A23+1</f>
        <v>4</v>
      </c>
      <c r="B24" s="745" t="s">
        <v>668</v>
      </c>
      <c r="C24" s="762">
        <v>0</v>
      </c>
      <c r="D24" s="762">
        <v>0</v>
      </c>
      <c r="E24" s="762">
        <v>0</v>
      </c>
      <c r="F24" s="762">
        <v>0</v>
      </c>
      <c r="G24" s="762">
        <v>0</v>
      </c>
      <c r="H24" s="763"/>
      <c r="I24" s="762">
        <v>0</v>
      </c>
      <c r="J24" s="762">
        <v>0</v>
      </c>
      <c r="K24" s="762">
        <v>0</v>
      </c>
      <c r="L24" s="763"/>
      <c r="M24" s="762">
        <v>0</v>
      </c>
      <c r="N24" s="762">
        <v>0</v>
      </c>
      <c r="O24" s="762">
        <v>0</v>
      </c>
      <c r="P24" s="763"/>
      <c r="Q24" s="762">
        <v>0</v>
      </c>
      <c r="R24" s="762">
        <v>0</v>
      </c>
      <c r="S24" s="762">
        <v>0</v>
      </c>
    </row>
    <row r="25" spans="1:19">
      <c r="A25" s="758"/>
      <c r="B25" s="745"/>
      <c r="C25" s="751"/>
      <c r="D25" s="751"/>
      <c r="E25" s="751"/>
      <c r="F25" s="751"/>
      <c r="G25" s="751"/>
      <c r="H25" s="751"/>
      <c r="I25" s="751"/>
      <c r="J25" s="751"/>
      <c r="K25" s="751"/>
      <c r="L25" s="751"/>
      <c r="M25" s="751"/>
      <c r="N25" s="751"/>
      <c r="O25" s="751"/>
      <c r="P25" s="751"/>
      <c r="Q25" s="751"/>
      <c r="R25" s="751"/>
      <c r="S25" s="751"/>
    </row>
    <row r="26" spans="1:19">
      <c r="A26" s="758">
        <v>5</v>
      </c>
      <c r="B26" s="741" t="s">
        <v>669</v>
      </c>
      <c r="C26" s="751"/>
      <c r="D26" s="751"/>
      <c r="E26" s="751"/>
      <c r="F26" s="751"/>
      <c r="G26" s="751"/>
      <c r="H26" s="751"/>
      <c r="I26" s="751"/>
      <c r="J26" s="751"/>
      <c r="K26" s="751"/>
      <c r="L26" s="751"/>
      <c r="M26" s="751"/>
      <c r="N26" s="751"/>
      <c r="O26" s="751"/>
      <c r="P26" s="751"/>
      <c r="Q26" s="751"/>
      <c r="R26" s="751"/>
      <c r="S26" s="751"/>
    </row>
    <row r="27" spans="1:19">
      <c r="A27" s="764"/>
      <c r="B27" s="745"/>
      <c r="C27" s="751"/>
      <c r="D27" s="751"/>
      <c r="E27" s="751"/>
      <c r="F27" s="751"/>
      <c r="G27" s="751"/>
      <c r="H27" s="751"/>
      <c r="I27" s="751"/>
      <c r="J27" s="751"/>
      <c r="K27" s="751"/>
      <c r="L27" s="751"/>
      <c r="M27" s="751"/>
      <c r="N27" s="751"/>
      <c r="O27" s="751"/>
      <c r="P27" s="751"/>
      <c r="Q27" s="751"/>
      <c r="R27" s="751"/>
      <c r="S27" s="751"/>
    </row>
    <row r="28" spans="1:19" hidden="1">
      <c r="A28" s="765">
        <v>5.01</v>
      </c>
      <c r="B28" s="743"/>
      <c r="C28" s="751">
        <f t="shared" ref="C28:C64" si="1">SUM(M28:O28)</f>
        <v>0</v>
      </c>
      <c r="D28" s="751">
        <f t="shared" ref="D28:D64" si="2">SUM(Q28:S28)</f>
        <v>0</v>
      </c>
      <c r="E28" s="751"/>
      <c r="F28" s="751"/>
      <c r="G28" s="751">
        <f t="shared" ref="G28:G50" si="3">ROUND(SUM(C28:F28)/2,0)</f>
        <v>0</v>
      </c>
      <c r="H28" s="751"/>
      <c r="I28" s="751">
        <f t="shared" ref="I28:K65" si="4">(M28+Q28)/2</f>
        <v>0</v>
      </c>
      <c r="J28" s="751">
        <f t="shared" si="4"/>
        <v>0</v>
      </c>
      <c r="K28" s="751">
        <f t="shared" si="4"/>
        <v>0</v>
      </c>
      <c r="L28" s="751"/>
      <c r="M28" s="743"/>
      <c r="N28" s="743"/>
      <c r="O28" s="743"/>
      <c r="P28" s="751"/>
      <c r="Q28" s="743"/>
      <c r="R28" s="743"/>
      <c r="S28" s="743"/>
    </row>
    <row r="29" spans="1:19" hidden="1">
      <c r="A29" s="765">
        <f>A28+0.01</f>
        <v>5.0199999999999996</v>
      </c>
      <c r="B29" s="743"/>
      <c r="C29" s="751">
        <f>SUM(M29:O29)</f>
        <v>0</v>
      </c>
      <c r="D29" s="751">
        <f>SUM(Q29:S29)</f>
        <v>0</v>
      </c>
      <c r="E29" s="751"/>
      <c r="F29" s="751"/>
      <c r="G29" s="751">
        <f t="shared" si="3"/>
        <v>0</v>
      </c>
      <c r="H29" s="751"/>
      <c r="I29" s="751">
        <f t="shared" si="4"/>
        <v>0</v>
      </c>
      <c r="J29" s="751">
        <f t="shared" si="4"/>
        <v>0</v>
      </c>
      <c r="K29" s="751">
        <f t="shared" si="4"/>
        <v>0</v>
      </c>
      <c r="L29" s="751"/>
      <c r="M29" s="743"/>
      <c r="N29" s="743"/>
      <c r="O29" s="743"/>
      <c r="P29" s="751"/>
      <c r="Q29" s="743"/>
      <c r="R29" s="743"/>
      <c r="S29" s="743"/>
    </row>
    <row r="30" spans="1:19" hidden="1">
      <c r="A30" s="765">
        <f t="shared" ref="A30:A68" si="5">A29+0.01</f>
        <v>5.0299999999999994</v>
      </c>
      <c r="B30" s="743"/>
      <c r="C30" s="751">
        <f t="shared" si="1"/>
        <v>0</v>
      </c>
      <c r="D30" s="751">
        <f t="shared" si="2"/>
        <v>0</v>
      </c>
      <c r="E30" s="751"/>
      <c r="F30" s="751"/>
      <c r="G30" s="751">
        <f t="shared" si="3"/>
        <v>0</v>
      </c>
      <c r="H30" s="751"/>
      <c r="I30" s="751">
        <f t="shared" si="4"/>
        <v>0</v>
      </c>
      <c r="J30" s="751">
        <f t="shared" si="4"/>
        <v>0</v>
      </c>
      <c r="K30" s="751">
        <f t="shared" si="4"/>
        <v>0</v>
      </c>
      <c r="L30" s="751"/>
      <c r="M30" s="772"/>
      <c r="N30" s="772"/>
      <c r="O30" s="743"/>
      <c r="P30" s="751"/>
      <c r="Q30" s="772"/>
      <c r="R30" s="772"/>
      <c r="S30" s="743"/>
    </row>
    <row r="31" spans="1:19" hidden="1">
      <c r="A31" s="765">
        <f t="shared" si="5"/>
        <v>5.0399999999999991</v>
      </c>
      <c r="B31" s="743"/>
      <c r="C31" s="751">
        <f>SUM(M31:O31)</f>
        <v>0</v>
      </c>
      <c r="D31" s="751">
        <f>SUM(Q31:S31)</f>
        <v>0</v>
      </c>
      <c r="E31" s="751"/>
      <c r="F31" s="751"/>
      <c r="G31" s="751">
        <f t="shared" si="3"/>
        <v>0</v>
      </c>
      <c r="H31" s="751"/>
      <c r="I31" s="751">
        <f t="shared" si="4"/>
        <v>0</v>
      </c>
      <c r="J31" s="751">
        <f t="shared" si="4"/>
        <v>0</v>
      </c>
      <c r="K31" s="751">
        <f t="shared" si="4"/>
        <v>0</v>
      </c>
      <c r="L31" s="751"/>
      <c r="M31" s="743"/>
      <c r="N31" s="743"/>
      <c r="O31" s="743"/>
      <c r="P31" s="751"/>
      <c r="Q31" s="743"/>
      <c r="R31" s="743"/>
      <c r="S31" s="743"/>
    </row>
    <row r="32" spans="1:19" hidden="1">
      <c r="A32" s="765">
        <f t="shared" si="5"/>
        <v>5.0499999999999989</v>
      </c>
      <c r="B32" s="743"/>
      <c r="C32" s="751">
        <f t="shared" si="1"/>
        <v>0</v>
      </c>
      <c r="D32" s="751">
        <f t="shared" si="2"/>
        <v>0</v>
      </c>
      <c r="E32" s="751"/>
      <c r="F32" s="751"/>
      <c r="G32" s="751">
        <f t="shared" si="3"/>
        <v>0</v>
      </c>
      <c r="H32" s="751"/>
      <c r="I32" s="751">
        <f t="shared" si="4"/>
        <v>0</v>
      </c>
      <c r="J32" s="751">
        <f t="shared" si="4"/>
        <v>0</v>
      </c>
      <c r="K32" s="751">
        <f t="shared" si="4"/>
        <v>0</v>
      </c>
      <c r="L32" s="751"/>
      <c r="M32" s="743"/>
      <c r="N32" s="743"/>
      <c r="O32" s="743"/>
      <c r="P32" s="751"/>
      <c r="Q32" s="743"/>
      <c r="R32" s="743"/>
      <c r="S32" s="743"/>
    </row>
    <row r="33" spans="1:19" hidden="1">
      <c r="A33" s="765">
        <f t="shared" si="5"/>
        <v>5.0599999999999987</v>
      </c>
      <c r="B33" s="743"/>
      <c r="C33" s="751">
        <f t="shared" ref="C33:C39" si="6">SUM(M33:O33)</f>
        <v>0</v>
      </c>
      <c r="D33" s="751">
        <f t="shared" ref="D33:D39" si="7">SUM(Q33:S33)</f>
        <v>0</v>
      </c>
      <c r="E33" s="751"/>
      <c r="F33" s="751"/>
      <c r="G33" s="751">
        <f t="shared" si="3"/>
        <v>0</v>
      </c>
      <c r="H33" s="751"/>
      <c r="I33" s="751">
        <f t="shared" si="4"/>
        <v>0</v>
      </c>
      <c r="J33" s="751">
        <f t="shared" si="4"/>
        <v>0</v>
      </c>
      <c r="K33" s="751">
        <f t="shared" si="4"/>
        <v>0</v>
      </c>
      <c r="L33" s="751"/>
      <c r="M33" s="743"/>
      <c r="N33" s="743"/>
      <c r="O33" s="743"/>
      <c r="P33" s="751"/>
      <c r="Q33" s="743"/>
      <c r="R33" s="743"/>
      <c r="S33" s="743"/>
    </row>
    <row r="34" spans="1:19" hidden="1">
      <c r="A34" s="765">
        <f t="shared" si="5"/>
        <v>5.0699999999999985</v>
      </c>
      <c r="B34" s="743"/>
      <c r="C34" s="755">
        <f t="shared" si="6"/>
        <v>0</v>
      </c>
      <c r="D34" s="755">
        <f t="shared" si="7"/>
        <v>0</v>
      </c>
      <c r="E34" s="755"/>
      <c r="F34" s="755"/>
      <c r="G34" s="755">
        <f t="shared" si="3"/>
        <v>0</v>
      </c>
      <c r="H34" s="755"/>
      <c r="I34" s="755">
        <f t="shared" si="4"/>
        <v>0</v>
      </c>
      <c r="J34" s="755">
        <f t="shared" si="4"/>
        <v>0</v>
      </c>
      <c r="K34" s="755">
        <f t="shared" si="4"/>
        <v>0</v>
      </c>
      <c r="L34" s="755"/>
      <c r="M34" s="743"/>
      <c r="N34" s="772"/>
      <c r="O34" s="743"/>
      <c r="P34" s="751"/>
      <c r="Q34" s="772"/>
      <c r="R34" s="772"/>
      <c r="S34" s="743"/>
    </row>
    <row r="35" spans="1:19" hidden="1">
      <c r="A35" s="765">
        <f t="shared" si="5"/>
        <v>5.0799999999999983</v>
      </c>
      <c r="B35" s="743"/>
      <c r="C35" s="755">
        <f t="shared" si="6"/>
        <v>0</v>
      </c>
      <c r="D35" s="755">
        <f t="shared" si="7"/>
        <v>0</v>
      </c>
      <c r="E35" s="755"/>
      <c r="F35" s="755"/>
      <c r="G35" s="755">
        <f t="shared" si="3"/>
        <v>0</v>
      </c>
      <c r="H35" s="755"/>
      <c r="I35" s="755">
        <f t="shared" si="4"/>
        <v>0</v>
      </c>
      <c r="J35" s="755">
        <f t="shared" si="4"/>
        <v>0</v>
      </c>
      <c r="K35" s="755">
        <f t="shared" si="4"/>
        <v>0</v>
      </c>
      <c r="L35" s="755"/>
      <c r="M35" s="743"/>
      <c r="N35" s="743"/>
      <c r="O35" s="743"/>
      <c r="P35" s="755"/>
      <c r="Q35" s="743"/>
      <c r="R35" s="743"/>
      <c r="S35" s="743"/>
    </row>
    <row r="36" spans="1:19" hidden="1">
      <c r="A36" s="765">
        <f t="shared" si="5"/>
        <v>5.0899999999999981</v>
      </c>
      <c r="B36" s="743"/>
      <c r="C36" s="751">
        <f>SUM(M36:O36)</f>
        <v>0</v>
      </c>
      <c r="D36" s="751">
        <f t="shared" si="7"/>
        <v>0</v>
      </c>
      <c r="E36" s="751"/>
      <c r="F36" s="751"/>
      <c r="G36" s="751">
        <f>ROUND(SUM(C36:F36)/2,0)</f>
        <v>0</v>
      </c>
      <c r="H36" s="751"/>
      <c r="I36" s="751">
        <f t="shared" si="4"/>
        <v>0</v>
      </c>
      <c r="J36" s="751">
        <f t="shared" si="4"/>
        <v>0</v>
      </c>
      <c r="K36" s="751">
        <f t="shared" si="4"/>
        <v>0</v>
      </c>
      <c r="L36" s="751"/>
      <c r="M36" s="743"/>
      <c r="N36" s="743"/>
      <c r="O36" s="743"/>
      <c r="P36" s="751"/>
      <c r="Q36" s="743"/>
      <c r="R36" s="743"/>
      <c r="S36" s="743"/>
    </row>
    <row r="37" spans="1:19" hidden="1">
      <c r="A37" s="765">
        <f t="shared" si="5"/>
        <v>5.0999999999999979</v>
      </c>
      <c r="B37" s="743"/>
      <c r="C37" s="751">
        <f t="shared" si="6"/>
        <v>0</v>
      </c>
      <c r="D37" s="751">
        <f t="shared" si="7"/>
        <v>0</v>
      </c>
      <c r="E37" s="751"/>
      <c r="F37" s="751"/>
      <c r="G37" s="751">
        <f t="shared" si="3"/>
        <v>0</v>
      </c>
      <c r="H37" s="751"/>
      <c r="I37" s="751">
        <f t="shared" si="4"/>
        <v>0</v>
      </c>
      <c r="J37" s="751">
        <f t="shared" si="4"/>
        <v>0</v>
      </c>
      <c r="K37" s="751">
        <f t="shared" si="4"/>
        <v>0</v>
      </c>
      <c r="L37" s="751"/>
      <c r="M37" s="743"/>
      <c r="N37" s="743"/>
      <c r="O37" s="743"/>
      <c r="P37" s="751"/>
      <c r="Q37" s="743"/>
      <c r="R37" s="743"/>
      <c r="S37" s="743"/>
    </row>
    <row r="38" spans="1:19" hidden="1">
      <c r="A38" s="765">
        <f t="shared" si="5"/>
        <v>5.1099999999999977</v>
      </c>
      <c r="B38" s="743"/>
      <c r="C38" s="751">
        <f t="shared" si="6"/>
        <v>0</v>
      </c>
      <c r="D38" s="751">
        <f t="shared" si="7"/>
        <v>0</v>
      </c>
      <c r="E38" s="751"/>
      <c r="F38" s="751"/>
      <c r="G38" s="751">
        <f t="shared" si="3"/>
        <v>0</v>
      </c>
      <c r="H38" s="751"/>
      <c r="I38" s="751">
        <f t="shared" si="4"/>
        <v>0</v>
      </c>
      <c r="J38" s="751">
        <f t="shared" si="4"/>
        <v>0</v>
      </c>
      <c r="K38" s="751">
        <f t="shared" si="4"/>
        <v>0</v>
      </c>
      <c r="L38" s="751"/>
      <c r="M38" s="743"/>
      <c r="N38" s="743"/>
      <c r="O38" s="743"/>
      <c r="P38" s="751"/>
      <c r="Q38" s="743"/>
      <c r="R38" s="743"/>
      <c r="S38" s="743"/>
    </row>
    <row r="39" spans="1:19" hidden="1">
      <c r="A39" s="765">
        <f t="shared" si="5"/>
        <v>5.1199999999999974</v>
      </c>
      <c r="B39" s="743"/>
      <c r="C39" s="751">
        <f t="shared" si="6"/>
        <v>0</v>
      </c>
      <c r="D39" s="751">
        <f t="shared" si="7"/>
        <v>0</v>
      </c>
      <c r="E39" s="751"/>
      <c r="F39" s="751"/>
      <c r="G39" s="751">
        <f t="shared" si="3"/>
        <v>0</v>
      </c>
      <c r="H39" s="751"/>
      <c r="I39" s="751">
        <f t="shared" si="4"/>
        <v>0</v>
      </c>
      <c r="J39" s="751">
        <f t="shared" si="4"/>
        <v>0</v>
      </c>
      <c r="K39" s="751">
        <f t="shared" si="4"/>
        <v>0</v>
      </c>
      <c r="L39" s="751"/>
      <c r="M39" s="743"/>
      <c r="N39" s="743"/>
      <c r="O39" s="743"/>
      <c r="P39" s="751"/>
      <c r="Q39" s="743"/>
      <c r="R39" s="743"/>
      <c r="S39" s="743"/>
    </row>
    <row r="40" spans="1:19" hidden="1">
      <c r="A40" s="765">
        <f t="shared" si="5"/>
        <v>5.1299999999999972</v>
      </c>
      <c r="B40" s="743"/>
      <c r="C40" s="751">
        <f t="shared" si="1"/>
        <v>0</v>
      </c>
      <c r="D40" s="751">
        <f t="shared" si="2"/>
        <v>0</v>
      </c>
      <c r="E40" s="751"/>
      <c r="F40" s="751"/>
      <c r="G40" s="751">
        <f t="shared" si="3"/>
        <v>0</v>
      </c>
      <c r="H40" s="751"/>
      <c r="I40" s="751">
        <f t="shared" si="4"/>
        <v>0</v>
      </c>
      <c r="J40" s="751">
        <f t="shared" si="4"/>
        <v>0</v>
      </c>
      <c r="K40" s="751">
        <f t="shared" si="4"/>
        <v>0</v>
      </c>
      <c r="L40" s="751"/>
      <c r="M40" s="743"/>
      <c r="N40" s="743"/>
      <c r="O40" s="743"/>
      <c r="P40" s="751"/>
      <c r="Q40" s="743"/>
      <c r="R40" s="743"/>
      <c r="S40" s="743"/>
    </row>
    <row r="41" spans="1:19" hidden="1">
      <c r="A41" s="765">
        <f t="shared" si="5"/>
        <v>5.139999999999997</v>
      </c>
      <c r="B41" s="743"/>
      <c r="C41" s="751">
        <f t="shared" si="1"/>
        <v>0</v>
      </c>
      <c r="D41" s="751">
        <f t="shared" si="2"/>
        <v>0</v>
      </c>
      <c r="E41" s="751"/>
      <c r="F41" s="751"/>
      <c r="G41" s="751">
        <f t="shared" si="3"/>
        <v>0</v>
      </c>
      <c r="H41" s="751"/>
      <c r="I41" s="751">
        <f t="shared" si="4"/>
        <v>0</v>
      </c>
      <c r="J41" s="751">
        <f t="shared" si="4"/>
        <v>0</v>
      </c>
      <c r="K41" s="751">
        <f t="shared" si="4"/>
        <v>0</v>
      </c>
      <c r="L41" s="751"/>
      <c r="M41" s="743"/>
      <c r="N41" s="743"/>
      <c r="O41" s="743"/>
      <c r="P41" s="751"/>
      <c r="Q41" s="743"/>
      <c r="R41" s="743"/>
      <c r="S41" s="743"/>
    </row>
    <row r="42" spans="1:19" hidden="1">
      <c r="A42" s="765">
        <f t="shared" si="5"/>
        <v>5.1499999999999968</v>
      </c>
      <c r="B42" s="743"/>
      <c r="C42" s="751">
        <f t="shared" si="1"/>
        <v>0</v>
      </c>
      <c r="D42" s="751">
        <f t="shared" si="2"/>
        <v>0</v>
      </c>
      <c r="E42" s="751"/>
      <c r="F42" s="751"/>
      <c r="G42" s="751">
        <f t="shared" si="3"/>
        <v>0</v>
      </c>
      <c r="H42" s="751"/>
      <c r="I42" s="751">
        <f t="shared" si="4"/>
        <v>0</v>
      </c>
      <c r="J42" s="751">
        <f t="shared" si="4"/>
        <v>0</v>
      </c>
      <c r="K42" s="751">
        <f t="shared" si="4"/>
        <v>0</v>
      </c>
      <c r="L42" s="751"/>
      <c r="M42" s="743"/>
      <c r="N42" s="743"/>
      <c r="O42" s="743"/>
      <c r="P42" s="751"/>
      <c r="Q42" s="743"/>
      <c r="R42" s="743"/>
      <c r="S42" s="743"/>
    </row>
    <row r="43" spans="1:19" hidden="1">
      <c r="A43" s="765">
        <f t="shared" si="5"/>
        <v>5.1599999999999966</v>
      </c>
      <c r="B43" s="743"/>
      <c r="C43" s="751">
        <f t="shared" si="1"/>
        <v>0</v>
      </c>
      <c r="D43" s="751">
        <f t="shared" si="2"/>
        <v>0</v>
      </c>
      <c r="E43" s="751"/>
      <c r="F43" s="751"/>
      <c r="G43" s="751">
        <f t="shared" si="3"/>
        <v>0</v>
      </c>
      <c r="H43" s="751"/>
      <c r="I43" s="751">
        <f t="shared" si="4"/>
        <v>0</v>
      </c>
      <c r="J43" s="751">
        <f t="shared" si="4"/>
        <v>0</v>
      </c>
      <c r="K43" s="751">
        <f t="shared" si="4"/>
        <v>0</v>
      </c>
      <c r="L43" s="751"/>
      <c r="M43" s="743"/>
      <c r="N43" s="743"/>
      <c r="O43" s="743"/>
      <c r="P43" s="751"/>
      <c r="Q43" s="743"/>
      <c r="R43" s="743"/>
      <c r="S43" s="743"/>
    </row>
    <row r="44" spans="1:19" hidden="1">
      <c r="A44" s="765">
        <f t="shared" si="5"/>
        <v>5.1699999999999964</v>
      </c>
      <c r="B44" s="743"/>
      <c r="C44" s="751">
        <f t="shared" si="1"/>
        <v>0</v>
      </c>
      <c r="D44" s="751">
        <f t="shared" si="2"/>
        <v>0</v>
      </c>
      <c r="E44" s="751"/>
      <c r="F44" s="751"/>
      <c r="G44" s="751">
        <f t="shared" si="3"/>
        <v>0</v>
      </c>
      <c r="H44" s="751"/>
      <c r="I44" s="751">
        <f t="shared" si="4"/>
        <v>0</v>
      </c>
      <c r="J44" s="751">
        <f t="shared" si="4"/>
        <v>0</v>
      </c>
      <c r="K44" s="751">
        <f t="shared" si="4"/>
        <v>0</v>
      </c>
      <c r="L44" s="751"/>
      <c r="M44" s="743"/>
      <c r="N44" s="743"/>
      <c r="O44" s="743"/>
      <c r="P44" s="751"/>
      <c r="Q44" s="743"/>
      <c r="R44" s="743"/>
      <c r="S44" s="743"/>
    </row>
    <row r="45" spans="1:19" hidden="1">
      <c r="A45" s="765">
        <f t="shared" si="5"/>
        <v>5.1799999999999962</v>
      </c>
      <c r="B45" s="743"/>
      <c r="C45" s="751">
        <f t="shared" si="1"/>
        <v>0</v>
      </c>
      <c r="D45" s="751">
        <f t="shared" si="2"/>
        <v>0</v>
      </c>
      <c r="E45" s="751"/>
      <c r="F45" s="751"/>
      <c r="G45" s="751">
        <f t="shared" si="3"/>
        <v>0</v>
      </c>
      <c r="H45" s="751"/>
      <c r="I45" s="751">
        <f t="shared" si="4"/>
        <v>0</v>
      </c>
      <c r="J45" s="751">
        <f t="shared" si="4"/>
        <v>0</v>
      </c>
      <c r="K45" s="751">
        <f t="shared" si="4"/>
        <v>0</v>
      </c>
      <c r="L45" s="751"/>
      <c r="M45" s="743"/>
      <c r="N45" s="743"/>
      <c r="O45" s="743"/>
      <c r="P45" s="751"/>
      <c r="Q45" s="743"/>
      <c r="R45" s="743"/>
      <c r="S45" s="743"/>
    </row>
    <row r="46" spans="1:19" hidden="1">
      <c r="A46" s="765">
        <f t="shared" si="5"/>
        <v>5.1899999999999959</v>
      </c>
      <c r="B46" s="743"/>
      <c r="C46" s="751">
        <f t="shared" si="1"/>
        <v>0</v>
      </c>
      <c r="D46" s="751">
        <f t="shared" si="2"/>
        <v>0</v>
      </c>
      <c r="E46" s="751"/>
      <c r="F46" s="751"/>
      <c r="G46" s="751">
        <f t="shared" si="3"/>
        <v>0</v>
      </c>
      <c r="H46" s="751"/>
      <c r="I46" s="751">
        <f t="shared" si="4"/>
        <v>0</v>
      </c>
      <c r="J46" s="751">
        <f t="shared" si="4"/>
        <v>0</v>
      </c>
      <c r="K46" s="751">
        <f t="shared" si="4"/>
        <v>0</v>
      </c>
      <c r="L46" s="751"/>
      <c r="M46" s="743"/>
      <c r="N46" s="743"/>
      <c r="O46" s="743"/>
      <c r="P46" s="751"/>
      <c r="Q46" s="743"/>
      <c r="R46" s="743"/>
      <c r="S46" s="743"/>
    </row>
    <row r="47" spans="1:19" hidden="1">
      <c r="A47" s="765">
        <f t="shared" si="5"/>
        <v>5.1999999999999957</v>
      </c>
      <c r="B47" s="743"/>
      <c r="C47" s="751">
        <f t="shared" si="1"/>
        <v>0</v>
      </c>
      <c r="D47" s="751">
        <f t="shared" si="2"/>
        <v>0</v>
      </c>
      <c r="E47" s="751"/>
      <c r="F47" s="751"/>
      <c r="G47" s="751">
        <f t="shared" si="3"/>
        <v>0</v>
      </c>
      <c r="H47" s="751"/>
      <c r="I47" s="751">
        <f t="shared" si="4"/>
        <v>0</v>
      </c>
      <c r="J47" s="751">
        <f t="shared" si="4"/>
        <v>0</v>
      </c>
      <c r="K47" s="751">
        <f t="shared" si="4"/>
        <v>0</v>
      </c>
      <c r="L47" s="751"/>
      <c r="M47" s="743"/>
      <c r="N47" s="743"/>
      <c r="O47" s="743"/>
      <c r="P47" s="751"/>
      <c r="Q47" s="743"/>
      <c r="R47" s="743"/>
      <c r="S47" s="743"/>
    </row>
    <row r="48" spans="1:19" hidden="1">
      <c r="A48" s="765">
        <f t="shared" si="5"/>
        <v>5.2099999999999955</v>
      </c>
      <c r="B48" s="743"/>
      <c r="C48" s="751">
        <f t="shared" si="1"/>
        <v>0</v>
      </c>
      <c r="D48" s="751">
        <f t="shared" si="2"/>
        <v>0</v>
      </c>
      <c r="E48" s="751"/>
      <c r="F48" s="751"/>
      <c r="G48" s="751">
        <f t="shared" si="3"/>
        <v>0</v>
      </c>
      <c r="H48" s="751"/>
      <c r="I48" s="751">
        <f t="shared" si="4"/>
        <v>0</v>
      </c>
      <c r="J48" s="751">
        <f t="shared" si="4"/>
        <v>0</v>
      </c>
      <c r="K48" s="751">
        <f t="shared" si="4"/>
        <v>0</v>
      </c>
      <c r="L48" s="751"/>
      <c r="M48" s="743"/>
      <c r="N48" s="743"/>
      <c r="O48" s="743"/>
      <c r="P48" s="751"/>
      <c r="Q48" s="743"/>
      <c r="R48" s="743"/>
      <c r="S48" s="743"/>
    </row>
    <row r="49" spans="1:19" hidden="1">
      <c r="A49" s="765">
        <f t="shared" si="5"/>
        <v>5.2199999999999953</v>
      </c>
      <c r="B49" s="743"/>
      <c r="C49" s="751">
        <f t="shared" ref="C49:C55" si="8">SUM(M49:O49)</f>
        <v>0</v>
      </c>
      <c r="D49" s="751">
        <f t="shared" ref="D49:D55" si="9">SUM(Q49:S49)</f>
        <v>0</v>
      </c>
      <c r="E49" s="751"/>
      <c r="F49" s="751"/>
      <c r="G49" s="751">
        <f t="shared" si="3"/>
        <v>0</v>
      </c>
      <c r="H49" s="751"/>
      <c r="I49" s="751">
        <f t="shared" si="4"/>
        <v>0</v>
      </c>
      <c r="J49" s="751">
        <f t="shared" si="4"/>
        <v>0</v>
      </c>
      <c r="K49" s="751">
        <f t="shared" si="4"/>
        <v>0</v>
      </c>
      <c r="L49" s="751"/>
      <c r="M49" s="743"/>
      <c r="N49" s="743"/>
      <c r="O49" s="743"/>
      <c r="P49" s="751"/>
      <c r="Q49" s="743"/>
      <c r="R49" s="743"/>
      <c r="S49" s="743"/>
    </row>
    <row r="50" spans="1:19" hidden="1">
      <c r="A50" s="765">
        <f t="shared" si="5"/>
        <v>5.2299999999999951</v>
      </c>
      <c r="B50" s="743"/>
      <c r="C50" s="751">
        <f t="shared" si="8"/>
        <v>0</v>
      </c>
      <c r="D50" s="751">
        <f t="shared" si="9"/>
        <v>0</v>
      </c>
      <c r="E50" s="751"/>
      <c r="F50" s="751"/>
      <c r="G50" s="751">
        <f t="shared" si="3"/>
        <v>0</v>
      </c>
      <c r="H50" s="751"/>
      <c r="I50" s="751">
        <f t="shared" si="4"/>
        <v>0</v>
      </c>
      <c r="J50" s="751">
        <f t="shared" si="4"/>
        <v>0</v>
      </c>
      <c r="K50" s="751">
        <f t="shared" si="4"/>
        <v>0</v>
      </c>
      <c r="L50" s="751"/>
      <c r="M50" s="743"/>
      <c r="N50" s="743"/>
      <c r="O50" s="743"/>
      <c r="P50" s="751"/>
      <c r="Q50" s="743"/>
      <c r="R50" s="743"/>
      <c r="S50" s="743"/>
    </row>
    <row r="51" spans="1:19" hidden="1">
      <c r="A51" s="765">
        <f t="shared" si="5"/>
        <v>5.2399999999999949</v>
      </c>
      <c r="B51" s="743"/>
      <c r="C51" s="751">
        <f t="shared" si="8"/>
        <v>0</v>
      </c>
      <c r="D51" s="751">
        <f t="shared" si="9"/>
        <v>0</v>
      </c>
      <c r="E51" s="751"/>
      <c r="F51" s="751"/>
      <c r="G51" s="751">
        <f>ROUND(SUM(C51:F51)/2,0)</f>
        <v>0</v>
      </c>
      <c r="H51" s="751"/>
      <c r="I51" s="751">
        <f t="shared" si="4"/>
        <v>0</v>
      </c>
      <c r="J51" s="751">
        <f t="shared" si="4"/>
        <v>0</v>
      </c>
      <c r="K51" s="751">
        <f t="shared" si="4"/>
        <v>0</v>
      </c>
      <c r="L51" s="751"/>
      <c r="M51" s="743"/>
      <c r="N51" s="743"/>
      <c r="O51" s="743"/>
      <c r="P51" s="751"/>
      <c r="Q51" s="743"/>
      <c r="R51" s="743"/>
      <c r="S51" s="743"/>
    </row>
    <row r="52" spans="1:19" hidden="1">
      <c r="A52" s="765">
        <f t="shared" si="5"/>
        <v>5.2499999999999947</v>
      </c>
      <c r="B52" s="743"/>
      <c r="C52" s="751">
        <f t="shared" si="8"/>
        <v>0</v>
      </c>
      <c r="D52" s="751">
        <f t="shared" si="9"/>
        <v>0</v>
      </c>
      <c r="E52" s="751"/>
      <c r="F52" s="751"/>
      <c r="G52" s="751">
        <f>ROUND(SUM(C52:F52)/2,0)</f>
        <v>0</v>
      </c>
      <c r="H52" s="751"/>
      <c r="I52" s="751">
        <f t="shared" si="4"/>
        <v>0</v>
      </c>
      <c r="J52" s="751">
        <f t="shared" si="4"/>
        <v>0</v>
      </c>
      <c r="K52" s="751">
        <f t="shared" si="4"/>
        <v>0</v>
      </c>
      <c r="L52" s="751"/>
      <c r="M52" s="743"/>
      <c r="N52" s="743"/>
      <c r="O52" s="743"/>
      <c r="P52" s="751"/>
      <c r="Q52" s="743"/>
      <c r="R52" s="743"/>
      <c r="S52" s="743"/>
    </row>
    <row r="53" spans="1:19" hidden="1">
      <c r="A53" s="765">
        <f t="shared" si="5"/>
        <v>5.2599999999999945</v>
      </c>
      <c r="B53" s="743"/>
      <c r="C53" s="751">
        <f t="shared" si="8"/>
        <v>0</v>
      </c>
      <c r="D53" s="751">
        <f t="shared" si="9"/>
        <v>0</v>
      </c>
      <c r="E53" s="751"/>
      <c r="F53" s="751"/>
      <c r="G53" s="751">
        <f>ROUND(SUM(C53:F53)/2,0)</f>
        <v>0</v>
      </c>
      <c r="H53" s="751"/>
      <c r="I53" s="751">
        <f t="shared" si="4"/>
        <v>0</v>
      </c>
      <c r="J53" s="751">
        <f t="shared" si="4"/>
        <v>0</v>
      </c>
      <c r="K53" s="751">
        <f t="shared" si="4"/>
        <v>0</v>
      </c>
      <c r="L53" s="751"/>
      <c r="M53" s="743"/>
      <c r="N53" s="743"/>
      <c r="O53" s="743"/>
      <c r="P53" s="751"/>
      <c r="Q53" s="743"/>
      <c r="R53" s="743"/>
      <c r="S53" s="743"/>
    </row>
    <row r="54" spans="1:19" hidden="1">
      <c r="A54" s="765">
        <f t="shared" si="5"/>
        <v>5.2699999999999942</v>
      </c>
      <c r="B54" s="743"/>
      <c r="C54" s="751">
        <f t="shared" si="8"/>
        <v>0</v>
      </c>
      <c r="D54" s="751">
        <f t="shared" si="9"/>
        <v>0</v>
      </c>
      <c r="E54" s="751"/>
      <c r="F54" s="751"/>
      <c r="G54" s="751">
        <f>ROUND(SUM(C54:F54)/2,0)</f>
        <v>0</v>
      </c>
      <c r="H54" s="751"/>
      <c r="I54" s="751">
        <f t="shared" si="4"/>
        <v>0</v>
      </c>
      <c r="J54" s="751">
        <f t="shared" si="4"/>
        <v>0</v>
      </c>
      <c r="K54" s="751">
        <f t="shared" si="4"/>
        <v>0</v>
      </c>
      <c r="L54" s="751"/>
      <c r="M54" s="743"/>
      <c r="N54" s="743"/>
      <c r="O54" s="743"/>
      <c r="P54" s="751"/>
      <c r="Q54" s="743"/>
      <c r="R54" s="743"/>
      <c r="S54" s="743"/>
    </row>
    <row r="55" spans="1:19" hidden="1">
      <c r="A55" s="765">
        <f t="shared" si="5"/>
        <v>5.279999999999994</v>
      </c>
      <c r="B55" s="743"/>
      <c r="C55" s="751">
        <f t="shared" si="8"/>
        <v>0</v>
      </c>
      <c r="D55" s="751">
        <f t="shared" si="9"/>
        <v>0</v>
      </c>
      <c r="E55" s="751"/>
      <c r="F55" s="751"/>
      <c r="G55" s="751">
        <f>ROUND(SUM(C55:F55)/2,0)</f>
        <v>0</v>
      </c>
      <c r="H55" s="751"/>
      <c r="I55" s="751">
        <f t="shared" si="4"/>
        <v>0</v>
      </c>
      <c r="J55" s="751">
        <f t="shared" si="4"/>
        <v>0</v>
      </c>
      <c r="K55" s="751">
        <f t="shared" si="4"/>
        <v>0</v>
      </c>
      <c r="L55" s="751"/>
      <c r="M55" s="743"/>
      <c r="N55" s="743"/>
      <c r="O55" s="743"/>
      <c r="P55" s="751"/>
      <c r="Q55" s="743"/>
      <c r="R55" s="743"/>
      <c r="S55" s="743"/>
    </row>
    <row r="56" spans="1:19" hidden="1">
      <c r="A56" s="765">
        <f t="shared" si="5"/>
        <v>5.2899999999999938</v>
      </c>
      <c r="B56" s="743"/>
      <c r="C56" s="751">
        <f t="shared" si="1"/>
        <v>0</v>
      </c>
      <c r="D56" s="751">
        <f t="shared" si="2"/>
        <v>0</v>
      </c>
      <c r="E56" s="751"/>
      <c r="F56" s="751"/>
      <c r="G56" s="751">
        <f t="shared" ref="G56:G68" si="10">ROUND(SUM(C56:F56)/2,0)</f>
        <v>0</v>
      </c>
      <c r="H56" s="751"/>
      <c r="I56" s="751">
        <f t="shared" si="4"/>
        <v>0</v>
      </c>
      <c r="J56" s="751">
        <f t="shared" si="4"/>
        <v>0</v>
      </c>
      <c r="K56" s="751">
        <f t="shared" si="4"/>
        <v>0</v>
      </c>
      <c r="L56" s="751"/>
      <c r="M56" s="743"/>
      <c r="N56" s="743"/>
      <c r="O56" s="743"/>
      <c r="P56" s="751"/>
      <c r="Q56" s="743"/>
      <c r="R56" s="743"/>
      <c r="S56" s="743"/>
    </row>
    <row r="57" spans="1:19" hidden="1">
      <c r="A57" s="765">
        <f t="shared" si="5"/>
        <v>5.2999999999999936</v>
      </c>
      <c r="B57" s="743"/>
      <c r="C57" s="751">
        <f t="shared" si="1"/>
        <v>0</v>
      </c>
      <c r="D57" s="751">
        <f t="shared" si="2"/>
        <v>0</v>
      </c>
      <c r="E57" s="751"/>
      <c r="F57" s="751"/>
      <c r="G57" s="751">
        <f t="shared" si="10"/>
        <v>0</v>
      </c>
      <c r="H57" s="751"/>
      <c r="I57" s="751">
        <f t="shared" si="4"/>
        <v>0</v>
      </c>
      <c r="J57" s="751">
        <f t="shared" si="4"/>
        <v>0</v>
      </c>
      <c r="K57" s="751">
        <f t="shared" si="4"/>
        <v>0</v>
      </c>
      <c r="L57" s="751"/>
      <c r="M57" s="743"/>
      <c r="N57" s="743"/>
      <c r="O57" s="743"/>
      <c r="P57" s="751"/>
      <c r="Q57" s="743"/>
      <c r="R57" s="743"/>
      <c r="S57" s="743"/>
    </row>
    <row r="58" spans="1:19" hidden="1">
      <c r="A58" s="765">
        <f t="shared" si="5"/>
        <v>5.3099999999999934</v>
      </c>
      <c r="B58" s="743"/>
      <c r="C58" s="751">
        <f>SUM(M58:O58)</f>
        <v>0</v>
      </c>
      <c r="D58" s="751">
        <f>SUM(Q58:S58)</f>
        <v>0</v>
      </c>
      <c r="E58" s="751"/>
      <c r="F58" s="751"/>
      <c r="G58" s="751">
        <f>ROUND(SUM(C58:F58)/2,0)</f>
        <v>0</v>
      </c>
      <c r="H58" s="751"/>
      <c r="I58" s="751">
        <f t="shared" si="4"/>
        <v>0</v>
      </c>
      <c r="J58" s="751">
        <f t="shared" si="4"/>
        <v>0</v>
      </c>
      <c r="K58" s="751">
        <f t="shared" si="4"/>
        <v>0</v>
      </c>
      <c r="L58" s="751"/>
      <c r="M58" s="743"/>
      <c r="N58" s="743"/>
      <c r="O58" s="743"/>
      <c r="P58" s="751"/>
      <c r="Q58" s="743"/>
      <c r="R58" s="743"/>
      <c r="S58" s="743"/>
    </row>
    <row r="59" spans="1:19" hidden="1">
      <c r="A59" s="765">
        <f t="shared" si="5"/>
        <v>5.3199999999999932</v>
      </c>
      <c r="B59" s="743"/>
      <c r="C59" s="751">
        <f t="shared" si="1"/>
        <v>0</v>
      </c>
      <c r="D59" s="751">
        <f t="shared" si="2"/>
        <v>0</v>
      </c>
      <c r="E59" s="751"/>
      <c r="F59" s="751"/>
      <c r="G59" s="751">
        <f t="shared" si="10"/>
        <v>0</v>
      </c>
      <c r="H59" s="751"/>
      <c r="I59" s="751">
        <f t="shared" si="4"/>
        <v>0</v>
      </c>
      <c r="J59" s="751">
        <f t="shared" si="4"/>
        <v>0</v>
      </c>
      <c r="K59" s="751">
        <f t="shared" si="4"/>
        <v>0</v>
      </c>
      <c r="L59" s="751"/>
      <c r="M59" s="743"/>
      <c r="N59" s="743"/>
      <c r="O59" s="743"/>
      <c r="P59" s="751"/>
      <c r="Q59" s="743"/>
      <c r="R59" s="743"/>
      <c r="S59" s="743"/>
    </row>
    <row r="60" spans="1:19" hidden="1">
      <c r="A60" s="765">
        <f t="shared" si="5"/>
        <v>5.329999999999993</v>
      </c>
      <c r="B60" s="743"/>
      <c r="C60" s="751">
        <f t="shared" si="1"/>
        <v>0</v>
      </c>
      <c r="D60" s="751">
        <f t="shared" si="2"/>
        <v>0</v>
      </c>
      <c r="E60" s="751"/>
      <c r="F60" s="751"/>
      <c r="G60" s="751">
        <f t="shared" si="10"/>
        <v>0</v>
      </c>
      <c r="H60" s="751"/>
      <c r="I60" s="751">
        <f t="shared" si="4"/>
        <v>0</v>
      </c>
      <c r="J60" s="751">
        <f t="shared" si="4"/>
        <v>0</v>
      </c>
      <c r="K60" s="751">
        <f t="shared" si="4"/>
        <v>0</v>
      </c>
      <c r="L60" s="751"/>
      <c r="M60" s="743"/>
      <c r="N60" s="743"/>
      <c r="O60" s="743"/>
      <c r="P60" s="751"/>
      <c r="Q60" s="743"/>
      <c r="R60" s="743"/>
      <c r="S60" s="743"/>
    </row>
    <row r="61" spans="1:19" hidden="1">
      <c r="A61" s="765">
        <f t="shared" si="5"/>
        <v>5.3399999999999928</v>
      </c>
      <c r="B61" s="743"/>
      <c r="C61" s="755">
        <f>SUM(M61:O61)</f>
        <v>0</v>
      </c>
      <c r="D61" s="755">
        <f>SUM(Q61:S61)</f>
        <v>0</v>
      </c>
      <c r="E61" s="755"/>
      <c r="F61" s="755"/>
      <c r="G61" s="755">
        <f>ROUND(SUM(C61:F61)/2,0)</f>
        <v>0</v>
      </c>
      <c r="H61" s="755"/>
      <c r="I61" s="755">
        <f t="shared" si="4"/>
        <v>0</v>
      </c>
      <c r="J61" s="755">
        <f t="shared" si="4"/>
        <v>0</v>
      </c>
      <c r="K61" s="755">
        <f t="shared" si="4"/>
        <v>0</v>
      </c>
      <c r="L61" s="755"/>
      <c r="M61" s="743"/>
      <c r="N61" s="743"/>
      <c r="O61" s="743"/>
      <c r="P61" s="755"/>
      <c r="Q61" s="743"/>
      <c r="R61" s="743"/>
      <c r="S61" s="743"/>
    </row>
    <row r="62" spans="1:19" hidden="1">
      <c r="A62" s="765">
        <f t="shared" si="5"/>
        <v>5.3499999999999925</v>
      </c>
      <c r="B62" s="743"/>
      <c r="C62" s="755">
        <f t="shared" si="1"/>
        <v>0</v>
      </c>
      <c r="D62" s="755">
        <f t="shared" si="2"/>
        <v>0</v>
      </c>
      <c r="E62" s="755"/>
      <c r="F62" s="755"/>
      <c r="G62" s="755">
        <f t="shared" si="10"/>
        <v>0</v>
      </c>
      <c r="H62" s="755"/>
      <c r="I62" s="755">
        <f t="shared" si="4"/>
        <v>0</v>
      </c>
      <c r="J62" s="755">
        <f t="shared" si="4"/>
        <v>0</v>
      </c>
      <c r="K62" s="755">
        <f t="shared" si="4"/>
        <v>0</v>
      </c>
      <c r="L62" s="755"/>
      <c r="M62" s="743"/>
      <c r="N62" s="743"/>
      <c r="O62" s="743"/>
      <c r="P62" s="755"/>
      <c r="Q62" s="743"/>
      <c r="R62" s="743"/>
      <c r="S62" s="743"/>
    </row>
    <row r="63" spans="1:19" hidden="1">
      <c r="A63" s="765">
        <f t="shared" si="5"/>
        <v>5.3599999999999923</v>
      </c>
      <c r="B63" s="743"/>
      <c r="C63" s="751">
        <f t="shared" si="1"/>
        <v>0</v>
      </c>
      <c r="D63" s="751">
        <f t="shared" si="2"/>
        <v>0</v>
      </c>
      <c r="E63" s="751"/>
      <c r="F63" s="751"/>
      <c r="G63" s="751">
        <f t="shared" si="10"/>
        <v>0</v>
      </c>
      <c r="H63" s="751"/>
      <c r="I63" s="751">
        <f t="shared" si="4"/>
        <v>0</v>
      </c>
      <c r="J63" s="751">
        <f t="shared" si="4"/>
        <v>0</v>
      </c>
      <c r="K63" s="751">
        <f t="shared" si="4"/>
        <v>0</v>
      </c>
      <c r="L63" s="751"/>
      <c r="M63" s="743"/>
      <c r="N63" s="743"/>
      <c r="O63" s="743"/>
      <c r="P63" s="751"/>
      <c r="Q63" s="743"/>
      <c r="R63" s="743"/>
      <c r="S63" s="743"/>
    </row>
    <row r="64" spans="1:19" hidden="1">
      <c r="A64" s="765">
        <f t="shared" si="5"/>
        <v>5.3699999999999921</v>
      </c>
      <c r="B64" s="743"/>
      <c r="C64" s="751">
        <f t="shared" si="1"/>
        <v>0</v>
      </c>
      <c r="D64" s="751">
        <f t="shared" si="2"/>
        <v>0</v>
      </c>
      <c r="E64" s="751"/>
      <c r="F64" s="751"/>
      <c r="G64" s="751">
        <f t="shared" si="10"/>
        <v>0</v>
      </c>
      <c r="H64" s="751"/>
      <c r="I64" s="751">
        <f t="shared" si="4"/>
        <v>0</v>
      </c>
      <c r="J64" s="751">
        <f t="shared" si="4"/>
        <v>0</v>
      </c>
      <c r="K64" s="751">
        <f t="shared" si="4"/>
        <v>0</v>
      </c>
      <c r="L64" s="751"/>
      <c r="M64" s="743"/>
      <c r="N64" s="743"/>
      <c r="O64" s="743"/>
      <c r="P64" s="751"/>
      <c r="Q64" s="743"/>
      <c r="R64" s="743"/>
      <c r="S64" s="743"/>
    </row>
    <row r="65" spans="1:19">
      <c r="A65" s="765">
        <f t="shared" si="5"/>
        <v>5.3799999999999919</v>
      </c>
      <c r="B65" s="743"/>
      <c r="C65" s="751">
        <f>SUM(M65:O65)</f>
        <v>0</v>
      </c>
      <c r="D65" s="751">
        <f>SUM(Q65:S65)</f>
        <v>0</v>
      </c>
      <c r="E65" s="751"/>
      <c r="F65" s="751"/>
      <c r="G65" s="751">
        <f>ROUND(SUM(C65:F65)/2,0)</f>
        <v>0</v>
      </c>
      <c r="H65" s="751"/>
      <c r="I65" s="751">
        <f t="shared" si="4"/>
        <v>0</v>
      </c>
      <c r="J65" s="751">
        <f t="shared" si="4"/>
        <v>0</v>
      </c>
      <c r="K65" s="751">
        <f t="shared" si="4"/>
        <v>0</v>
      </c>
      <c r="L65" s="751"/>
      <c r="M65" s="743"/>
      <c r="N65" s="743"/>
      <c r="O65" s="743"/>
      <c r="P65" s="751"/>
      <c r="Q65" s="743"/>
      <c r="R65" s="743"/>
      <c r="S65" s="743"/>
    </row>
    <row r="66" spans="1:19">
      <c r="A66" s="765">
        <f t="shared" si="5"/>
        <v>5.3899999999999917</v>
      </c>
      <c r="B66" s="743"/>
      <c r="C66" s="743"/>
      <c r="D66" s="743"/>
      <c r="E66" s="751">
        <f t="shared" ref="E66:F68" si="11">-C66</f>
        <v>0</v>
      </c>
      <c r="F66" s="751">
        <f t="shared" si="11"/>
        <v>0</v>
      </c>
      <c r="G66" s="751">
        <f t="shared" si="10"/>
        <v>0</v>
      </c>
      <c r="H66" s="751"/>
      <c r="I66" s="751"/>
      <c r="J66" s="751"/>
      <c r="K66" s="751"/>
      <c r="L66" s="751"/>
      <c r="M66" s="751"/>
      <c r="N66" s="751"/>
      <c r="O66" s="751"/>
      <c r="P66" s="751"/>
      <c r="Q66" s="751"/>
      <c r="R66" s="751"/>
      <c r="S66" s="751"/>
    </row>
    <row r="67" spans="1:19">
      <c r="A67" s="765">
        <f t="shared" si="5"/>
        <v>5.3999999999999915</v>
      </c>
      <c r="B67" s="743"/>
      <c r="C67" s="743"/>
      <c r="D67" s="743"/>
      <c r="E67" s="751">
        <f t="shared" si="11"/>
        <v>0</v>
      </c>
      <c r="F67" s="751">
        <f t="shared" si="11"/>
        <v>0</v>
      </c>
      <c r="G67" s="751">
        <f t="shared" si="10"/>
        <v>0</v>
      </c>
      <c r="H67" s="751"/>
      <c r="I67" s="751"/>
      <c r="J67" s="751"/>
      <c r="K67" s="751"/>
      <c r="L67" s="751"/>
      <c r="M67" s="751"/>
      <c r="N67" s="751"/>
      <c r="O67" s="751"/>
      <c r="P67" s="751"/>
      <c r="Q67" s="751"/>
      <c r="R67" s="751"/>
      <c r="S67" s="751"/>
    </row>
    <row r="68" spans="1:19">
      <c r="A68" s="765">
        <f t="shared" si="5"/>
        <v>5.4099999999999913</v>
      </c>
      <c r="B68" s="743"/>
      <c r="C68" s="743"/>
      <c r="D68" s="743"/>
      <c r="E68" s="751">
        <f t="shared" si="11"/>
        <v>0</v>
      </c>
      <c r="F68" s="751">
        <f t="shared" si="11"/>
        <v>0</v>
      </c>
      <c r="G68" s="751">
        <f t="shared" si="10"/>
        <v>0</v>
      </c>
      <c r="H68" s="751"/>
      <c r="I68" s="751"/>
      <c r="J68" s="751"/>
      <c r="K68" s="751"/>
      <c r="L68" s="751"/>
      <c r="M68" s="751"/>
      <c r="N68" s="751"/>
      <c r="O68" s="751"/>
      <c r="P68" s="751"/>
      <c r="Q68" s="751"/>
      <c r="R68" s="751"/>
      <c r="S68" s="751"/>
    </row>
    <row r="69" spans="1:19">
      <c r="A69" s="741"/>
    </row>
    <row r="70" spans="1:19">
      <c r="A70" s="758"/>
      <c r="B70" s="745"/>
      <c r="C70" s="751"/>
      <c r="D70" s="751"/>
      <c r="E70" s="751"/>
      <c r="F70" s="751"/>
      <c r="G70" s="751"/>
      <c r="H70" s="751"/>
      <c r="I70" s="751"/>
      <c r="J70" s="751"/>
      <c r="K70" s="751"/>
      <c r="L70" s="751"/>
      <c r="M70" s="751"/>
      <c r="N70" s="751"/>
      <c r="O70" s="751"/>
      <c r="P70" s="751"/>
      <c r="Q70" s="751"/>
      <c r="R70" s="751"/>
      <c r="S70" s="751"/>
    </row>
    <row r="71" spans="1:19" ht="13.5" thickBot="1">
      <c r="A71" s="758">
        <v>6</v>
      </c>
      <c r="B71" s="741" t="s">
        <v>670</v>
      </c>
      <c r="C71" s="753">
        <f>SUM(C28:C70)</f>
        <v>0</v>
      </c>
      <c r="D71" s="753">
        <f>SUM(D28:D70)</f>
        <v>0</v>
      </c>
      <c r="E71" s="753">
        <f>SUM(E28:E70)</f>
        <v>0</v>
      </c>
      <c r="F71" s="753">
        <f>SUM(F28:F70)</f>
        <v>0</v>
      </c>
      <c r="G71" s="753">
        <f>SUM(G28:G70)</f>
        <v>0</v>
      </c>
      <c r="H71" s="751"/>
      <c r="I71" s="753">
        <f>SUM(I28:I70)</f>
        <v>0</v>
      </c>
      <c r="J71" s="753">
        <f>SUM(J28:J70)</f>
        <v>0</v>
      </c>
      <c r="K71" s="753">
        <f>SUM(K28:K70)</f>
        <v>0</v>
      </c>
      <c r="L71" s="751"/>
      <c r="M71" s="753">
        <f>SUM(M28:M70)</f>
        <v>0</v>
      </c>
      <c r="N71" s="753">
        <f>SUM(N28:N70)</f>
        <v>0</v>
      </c>
      <c r="O71" s="753">
        <f>SUM(O28:O70)</f>
        <v>0</v>
      </c>
      <c r="P71" s="751"/>
      <c r="Q71" s="753">
        <f>SUM(Q28:Q70)</f>
        <v>0</v>
      </c>
      <c r="R71" s="753">
        <f>SUM(R28:R70)</f>
        <v>0</v>
      </c>
      <c r="S71" s="753">
        <f>SUM(S28:S70)</f>
        <v>0</v>
      </c>
    </row>
    <row r="72" spans="1:19" ht="13.5" thickTop="1">
      <c r="A72" s="758">
        <f>A71+1</f>
        <v>7</v>
      </c>
      <c r="B72" s="745" t="s">
        <v>671</v>
      </c>
      <c r="C72" s="754">
        <f>SUM(C34,C35,C61,C62)</f>
        <v>0</v>
      </c>
      <c r="D72" s="754">
        <f>SUM(D34,D35,D61,D62)</f>
        <v>0</v>
      </c>
      <c r="E72" s="754">
        <f>SUM(E34,E35,E61,E62)</f>
        <v>0</v>
      </c>
      <c r="F72" s="754">
        <f>SUM(F34,F35,F61,F62)</f>
        <v>0</v>
      </c>
      <c r="G72" s="754">
        <f>SUM(G34,G35,G61,G62)</f>
        <v>0</v>
      </c>
      <c r="H72" s="751"/>
      <c r="I72" s="754">
        <f>SUM(I34,I35,I61,I62)</f>
        <v>0</v>
      </c>
      <c r="J72" s="754">
        <f>SUM(J34,J35,J61,J62)</f>
        <v>0</v>
      </c>
      <c r="K72" s="754">
        <f>SUM(K34,K35,K61,K62)</f>
        <v>0</v>
      </c>
      <c r="L72" s="754"/>
      <c r="M72" s="754">
        <f>SUM(M34,M35,M61,M62)</f>
        <v>0</v>
      </c>
      <c r="N72" s="754">
        <f>SUM(N34,N35,N61,N62)</f>
        <v>0</v>
      </c>
      <c r="O72" s="754">
        <f>SUM(O34,O35,O61,O62)</f>
        <v>0</v>
      </c>
      <c r="P72" s="751"/>
      <c r="Q72" s="754">
        <f>SUM(Q34,Q35,Q61,Q62)</f>
        <v>0</v>
      </c>
      <c r="R72" s="754">
        <f>SUM(R34,R35,R61,R62)</f>
        <v>0</v>
      </c>
      <c r="S72" s="754">
        <f>SUM(S34,S35,S61,S62)</f>
        <v>0</v>
      </c>
    </row>
    <row r="73" spans="1:19">
      <c r="A73" s="758"/>
      <c r="C73" s="751"/>
      <c r="D73" s="751"/>
      <c r="E73" s="751"/>
      <c r="F73" s="751"/>
      <c r="G73" s="751"/>
      <c r="H73" s="751"/>
      <c r="I73" s="751"/>
      <c r="J73" s="751"/>
      <c r="K73" s="751"/>
      <c r="L73" s="751"/>
      <c r="M73" s="751"/>
      <c r="N73" s="751"/>
      <c r="O73" s="751"/>
      <c r="P73" s="751"/>
      <c r="Q73" s="751"/>
      <c r="R73" s="751"/>
      <c r="S73" s="751"/>
    </row>
    <row r="74" spans="1:19">
      <c r="A74" s="758">
        <v>8</v>
      </c>
      <c r="B74" s="741" t="s">
        <v>672</v>
      </c>
      <c r="C74" s="751" t="s">
        <v>406</v>
      </c>
      <c r="D74" s="751"/>
      <c r="E74" s="751"/>
      <c r="F74" s="751"/>
      <c r="G74" s="751"/>
      <c r="H74" s="751"/>
      <c r="I74" s="751"/>
      <c r="J74" s="751"/>
      <c r="K74" s="751"/>
      <c r="L74" s="751"/>
      <c r="M74" s="751"/>
      <c r="N74" s="751"/>
      <c r="O74" s="751"/>
      <c r="P74" s="751"/>
      <c r="Q74" s="751"/>
      <c r="R74" s="751"/>
      <c r="S74" s="751"/>
    </row>
    <row r="75" spans="1:19">
      <c r="A75" s="758"/>
      <c r="B75" s="745"/>
      <c r="C75" s="751"/>
      <c r="D75" s="751"/>
      <c r="E75" s="751"/>
      <c r="F75" s="751"/>
      <c r="G75" s="751"/>
      <c r="H75" s="751"/>
      <c r="I75" s="751"/>
      <c r="J75" s="751"/>
      <c r="K75" s="751"/>
      <c r="L75" s="751"/>
      <c r="M75" s="751"/>
      <c r="N75" s="751"/>
      <c r="O75" s="751"/>
      <c r="P75" s="751"/>
      <c r="Q75" s="751"/>
      <c r="R75" s="751"/>
      <c r="S75" s="751"/>
    </row>
    <row r="76" spans="1:19" hidden="1">
      <c r="A76" s="765">
        <v>9.01</v>
      </c>
      <c r="B76" s="743"/>
      <c r="C76" s="751">
        <f>SUM(M76:O76)</f>
        <v>0</v>
      </c>
      <c r="D76" s="751">
        <f t="shared" ref="D76:D139" si="12">SUM(Q76:S76)</f>
        <v>0</v>
      </c>
      <c r="E76" s="751"/>
      <c r="F76" s="751"/>
      <c r="G76" s="751">
        <f t="shared" ref="G76:G130" si="13">ROUND(SUM(C76:F76)/2,0)</f>
        <v>0</v>
      </c>
      <c r="H76" s="751"/>
      <c r="I76" s="751">
        <f>(M76+Q76)/2</f>
        <v>0</v>
      </c>
      <c r="J76" s="751">
        <f>(N76+R76)/2</f>
        <v>0</v>
      </c>
      <c r="K76" s="751">
        <f>(O76+S76)/2</f>
        <v>0</v>
      </c>
      <c r="L76" s="751"/>
      <c r="M76" s="743"/>
      <c r="N76" s="743"/>
      <c r="O76" s="743"/>
      <c r="P76" s="751"/>
      <c r="Q76" s="743"/>
      <c r="R76" s="743"/>
      <c r="S76" s="743"/>
    </row>
    <row r="77" spans="1:19" hidden="1">
      <c r="A77" s="765">
        <f>A76+0.01</f>
        <v>9.02</v>
      </c>
      <c r="B77" s="743"/>
      <c r="C77" s="751">
        <f t="shared" ref="C77:C140" si="14">SUM(M77:O77)</f>
        <v>0</v>
      </c>
      <c r="D77" s="751">
        <f t="shared" si="12"/>
        <v>0</v>
      </c>
      <c r="E77" s="751"/>
      <c r="F77" s="751"/>
      <c r="G77" s="751">
        <f>ROUND(SUM(C77:F77)/2,0)</f>
        <v>0</v>
      </c>
      <c r="H77" s="751"/>
      <c r="I77" s="751">
        <f t="shared" ref="I77:K136" si="15">(M77+Q77)/2</f>
        <v>0</v>
      </c>
      <c r="J77" s="751">
        <f t="shared" si="15"/>
        <v>0</v>
      </c>
      <c r="K77" s="751">
        <f t="shared" si="15"/>
        <v>0</v>
      </c>
      <c r="L77" s="751"/>
      <c r="M77" s="743"/>
      <c r="N77" s="743"/>
      <c r="O77" s="743"/>
      <c r="P77" s="751"/>
      <c r="Q77" s="743"/>
      <c r="R77" s="743"/>
      <c r="S77" s="743"/>
    </row>
    <row r="78" spans="1:19" hidden="1">
      <c r="A78" s="765">
        <f t="shared" ref="A78:A141" si="16">A77+0.01</f>
        <v>9.0299999999999994</v>
      </c>
      <c r="B78" s="743"/>
      <c r="C78" s="751">
        <f t="shared" si="14"/>
        <v>0</v>
      </c>
      <c r="D78" s="751">
        <f t="shared" si="12"/>
        <v>0</v>
      </c>
      <c r="E78" s="751"/>
      <c r="F78" s="751"/>
      <c r="G78" s="751">
        <f t="shared" si="13"/>
        <v>0</v>
      </c>
      <c r="H78" s="751"/>
      <c r="I78" s="751">
        <f t="shared" si="15"/>
        <v>0</v>
      </c>
      <c r="J78" s="751">
        <f t="shared" si="15"/>
        <v>0</v>
      </c>
      <c r="K78" s="751">
        <f t="shared" si="15"/>
        <v>0</v>
      </c>
      <c r="L78" s="751"/>
      <c r="M78" s="743"/>
      <c r="N78" s="743"/>
      <c r="O78" s="743"/>
      <c r="P78" s="751"/>
      <c r="Q78" s="743"/>
      <c r="R78" s="743"/>
      <c r="S78" s="743"/>
    </row>
    <row r="79" spans="1:19" hidden="1">
      <c r="A79" s="765">
        <f t="shared" si="16"/>
        <v>9.0399999999999991</v>
      </c>
      <c r="B79" s="743"/>
      <c r="C79" s="751">
        <f t="shared" si="14"/>
        <v>0</v>
      </c>
      <c r="D79" s="751">
        <f t="shared" si="12"/>
        <v>0</v>
      </c>
      <c r="E79" s="751"/>
      <c r="F79" s="751"/>
      <c r="G79" s="751">
        <f t="shared" si="13"/>
        <v>0</v>
      </c>
      <c r="H79" s="751"/>
      <c r="I79" s="751">
        <f t="shared" si="15"/>
        <v>0</v>
      </c>
      <c r="J79" s="751">
        <f t="shared" si="15"/>
        <v>0</v>
      </c>
      <c r="K79" s="751">
        <f t="shared" si="15"/>
        <v>0</v>
      </c>
      <c r="L79" s="751"/>
      <c r="M79" s="743"/>
      <c r="N79" s="743"/>
      <c r="O79" s="743"/>
      <c r="P79" s="751"/>
      <c r="Q79" s="743"/>
      <c r="R79" s="743"/>
      <c r="S79" s="743"/>
    </row>
    <row r="80" spans="1:19" hidden="1">
      <c r="A80" s="765">
        <f t="shared" si="16"/>
        <v>9.0499999999999989</v>
      </c>
      <c r="B80" s="743"/>
      <c r="C80" s="751">
        <f t="shared" si="14"/>
        <v>0</v>
      </c>
      <c r="D80" s="751">
        <f t="shared" si="12"/>
        <v>0</v>
      </c>
      <c r="E80" s="751"/>
      <c r="F80" s="751"/>
      <c r="G80" s="751">
        <f t="shared" si="13"/>
        <v>0</v>
      </c>
      <c r="H80" s="751"/>
      <c r="I80" s="751">
        <f t="shared" si="15"/>
        <v>0</v>
      </c>
      <c r="J80" s="751">
        <f t="shared" si="15"/>
        <v>0</v>
      </c>
      <c r="K80" s="751">
        <f t="shared" si="15"/>
        <v>0</v>
      </c>
      <c r="L80" s="751"/>
      <c r="M80" s="743"/>
      <c r="N80" s="743"/>
      <c r="O80" s="743"/>
      <c r="P80" s="751"/>
      <c r="Q80" s="743"/>
      <c r="R80" s="743"/>
      <c r="S80" s="743"/>
    </row>
    <row r="81" spans="1:19" hidden="1">
      <c r="A81" s="765">
        <f t="shared" si="16"/>
        <v>9.0599999999999987</v>
      </c>
      <c r="B81" s="743"/>
      <c r="C81" s="751">
        <f t="shared" si="14"/>
        <v>0</v>
      </c>
      <c r="D81" s="751">
        <f t="shared" si="12"/>
        <v>0</v>
      </c>
      <c r="E81" s="751"/>
      <c r="F81" s="751"/>
      <c r="G81" s="751">
        <f t="shared" si="13"/>
        <v>0</v>
      </c>
      <c r="H81" s="751"/>
      <c r="I81" s="751">
        <f t="shared" si="15"/>
        <v>0</v>
      </c>
      <c r="J81" s="751">
        <f t="shared" si="15"/>
        <v>0</v>
      </c>
      <c r="K81" s="751">
        <f t="shared" si="15"/>
        <v>0</v>
      </c>
      <c r="L81" s="751"/>
      <c r="M81" s="743"/>
      <c r="N81" s="743"/>
      <c r="O81" s="743"/>
      <c r="P81" s="751"/>
      <c r="Q81" s="743"/>
      <c r="R81" s="743"/>
      <c r="S81" s="743"/>
    </row>
    <row r="82" spans="1:19" hidden="1">
      <c r="A82" s="765">
        <f t="shared" si="16"/>
        <v>9.0699999999999985</v>
      </c>
      <c r="B82" s="743"/>
      <c r="C82" s="751">
        <f t="shared" si="14"/>
        <v>0</v>
      </c>
      <c r="D82" s="751">
        <f t="shared" si="12"/>
        <v>0</v>
      </c>
      <c r="E82" s="751"/>
      <c r="F82" s="751"/>
      <c r="G82" s="751">
        <f>ROUND(SUM(C82:F82)/2,0)</f>
        <v>0</v>
      </c>
      <c r="H82" s="751"/>
      <c r="I82" s="751">
        <f t="shared" si="15"/>
        <v>0</v>
      </c>
      <c r="J82" s="751">
        <f t="shared" si="15"/>
        <v>0</v>
      </c>
      <c r="K82" s="751">
        <f t="shared" si="15"/>
        <v>0</v>
      </c>
      <c r="L82" s="751"/>
      <c r="M82" s="743"/>
      <c r="N82" s="743"/>
      <c r="O82" s="743"/>
      <c r="P82" s="751"/>
      <c r="Q82" s="743"/>
      <c r="R82" s="743"/>
      <c r="S82" s="743"/>
    </row>
    <row r="83" spans="1:19" hidden="1">
      <c r="A83" s="765">
        <f t="shared" si="16"/>
        <v>9.0799999999999983</v>
      </c>
      <c r="B83" s="743"/>
      <c r="C83" s="751">
        <f t="shared" si="14"/>
        <v>0</v>
      </c>
      <c r="D83" s="751">
        <f t="shared" si="12"/>
        <v>0</v>
      </c>
      <c r="E83" s="751"/>
      <c r="F83" s="751"/>
      <c r="G83" s="751">
        <f>ROUND(SUM(C83:F83)/2,0)</f>
        <v>0</v>
      </c>
      <c r="H83" s="751"/>
      <c r="I83" s="751">
        <f t="shared" si="15"/>
        <v>0</v>
      </c>
      <c r="J83" s="751">
        <f t="shared" si="15"/>
        <v>0</v>
      </c>
      <c r="K83" s="751">
        <f t="shared" si="15"/>
        <v>0</v>
      </c>
      <c r="L83" s="751"/>
      <c r="M83" s="743"/>
      <c r="N83" s="743"/>
      <c r="O83" s="743"/>
      <c r="P83" s="751"/>
      <c r="Q83" s="743"/>
      <c r="R83" s="743"/>
      <c r="S83" s="743"/>
    </row>
    <row r="84" spans="1:19" hidden="1">
      <c r="A84" s="765">
        <f t="shared" si="16"/>
        <v>9.0899999999999981</v>
      </c>
      <c r="B84" s="743"/>
      <c r="C84" s="751">
        <f t="shared" si="14"/>
        <v>0</v>
      </c>
      <c r="D84" s="751">
        <f t="shared" si="12"/>
        <v>0</v>
      </c>
      <c r="E84" s="751"/>
      <c r="F84" s="751"/>
      <c r="G84" s="751">
        <f t="shared" si="13"/>
        <v>0</v>
      </c>
      <c r="H84" s="751"/>
      <c r="I84" s="751">
        <f t="shared" si="15"/>
        <v>0</v>
      </c>
      <c r="J84" s="751">
        <f t="shared" si="15"/>
        <v>0</v>
      </c>
      <c r="K84" s="751">
        <f t="shared" si="15"/>
        <v>0</v>
      </c>
      <c r="L84" s="751"/>
      <c r="M84" s="743"/>
      <c r="N84" s="743"/>
      <c r="O84" s="743"/>
      <c r="P84" s="751"/>
      <c r="Q84" s="743"/>
      <c r="R84" s="743"/>
      <c r="S84" s="743"/>
    </row>
    <row r="85" spans="1:19" hidden="1">
      <c r="A85" s="765">
        <f t="shared" si="16"/>
        <v>9.0999999999999979</v>
      </c>
      <c r="B85" s="743"/>
      <c r="C85" s="751">
        <f t="shared" si="14"/>
        <v>0</v>
      </c>
      <c r="D85" s="751">
        <f t="shared" si="12"/>
        <v>0</v>
      </c>
      <c r="E85" s="751"/>
      <c r="F85" s="751"/>
      <c r="G85" s="751">
        <f>ROUND(SUM(C85:F85)/2,0)</f>
        <v>0</v>
      </c>
      <c r="H85" s="751"/>
      <c r="I85" s="751">
        <f t="shared" si="15"/>
        <v>0</v>
      </c>
      <c r="J85" s="751">
        <f t="shared" si="15"/>
        <v>0</v>
      </c>
      <c r="K85" s="751">
        <f t="shared" si="15"/>
        <v>0</v>
      </c>
      <c r="L85" s="751"/>
      <c r="M85" s="743"/>
      <c r="N85" s="743"/>
      <c r="O85" s="743"/>
      <c r="P85" s="751"/>
      <c r="Q85" s="743"/>
      <c r="R85" s="743"/>
      <c r="S85" s="743"/>
    </row>
    <row r="86" spans="1:19" hidden="1">
      <c r="A86" s="765">
        <f t="shared" si="16"/>
        <v>9.1099999999999977</v>
      </c>
      <c r="B86" s="743"/>
      <c r="C86" s="751">
        <f t="shared" si="14"/>
        <v>0</v>
      </c>
      <c r="D86" s="751">
        <f t="shared" si="12"/>
        <v>0</v>
      </c>
      <c r="E86" s="751"/>
      <c r="F86" s="751"/>
      <c r="G86" s="751">
        <f>ROUND(SUM(C86:F86)/2,0)</f>
        <v>0</v>
      </c>
      <c r="H86" s="751"/>
      <c r="I86" s="751">
        <f t="shared" si="15"/>
        <v>0</v>
      </c>
      <c r="J86" s="751">
        <f t="shared" si="15"/>
        <v>0</v>
      </c>
      <c r="K86" s="751">
        <f t="shared" si="15"/>
        <v>0</v>
      </c>
      <c r="L86" s="751"/>
      <c r="M86" s="743"/>
      <c r="N86" s="743"/>
      <c r="O86" s="743"/>
      <c r="P86" s="751"/>
      <c r="Q86" s="743"/>
      <c r="R86" s="743"/>
      <c r="S86" s="743"/>
    </row>
    <row r="87" spans="1:19" hidden="1">
      <c r="A87" s="765">
        <f t="shared" si="16"/>
        <v>9.1199999999999974</v>
      </c>
      <c r="B87" s="743"/>
      <c r="C87" s="751">
        <f t="shared" si="14"/>
        <v>0</v>
      </c>
      <c r="D87" s="751">
        <f t="shared" si="12"/>
        <v>0</v>
      </c>
      <c r="E87" s="751"/>
      <c r="F87" s="751"/>
      <c r="G87" s="751">
        <f t="shared" si="13"/>
        <v>0</v>
      </c>
      <c r="H87" s="751"/>
      <c r="I87" s="751">
        <f t="shared" si="15"/>
        <v>0</v>
      </c>
      <c r="J87" s="751">
        <f t="shared" si="15"/>
        <v>0</v>
      </c>
      <c r="K87" s="751">
        <f t="shared" si="15"/>
        <v>0</v>
      </c>
      <c r="L87" s="751"/>
      <c r="M87" s="743"/>
      <c r="N87" s="743"/>
      <c r="O87" s="743"/>
      <c r="P87" s="751"/>
      <c r="Q87" s="743"/>
      <c r="R87" s="743"/>
      <c r="S87" s="743"/>
    </row>
    <row r="88" spans="1:19" hidden="1">
      <c r="A88" s="765">
        <f t="shared" si="16"/>
        <v>9.1299999999999972</v>
      </c>
      <c r="B88" s="743"/>
      <c r="C88" s="751">
        <f t="shared" si="14"/>
        <v>0</v>
      </c>
      <c r="D88" s="751">
        <f t="shared" si="12"/>
        <v>0</v>
      </c>
      <c r="E88" s="751"/>
      <c r="F88" s="751"/>
      <c r="G88" s="751">
        <f t="shared" si="13"/>
        <v>0</v>
      </c>
      <c r="H88" s="751"/>
      <c r="I88" s="751">
        <f t="shared" si="15"/>
        <v>0</v>
      </c>
      <c r="J88" s="751">
        <f t="shared" si="15"/>
        <v>0</v>
      </c>
      <c r="K88" s="751">
        <f t="shared" si="15"/>
        <v>0</v>
      </c>
      <c r="L88" s="751"/>
      <c r="M88" s="743"/>
      <c r="N88" s="743"/>
      <c r="O88" s="743"/>
      <c r="P88" s="751"/>
      <c r="Q88" s="743"/>
      <c r="R88" s="743"/>
      <c r="S88" s="743"/>
    </row>
    <row r="89" spans="1:19" hidden="1">
      <c r="A89" s="765">
        <f t="shared" si="16"/>
        <v>9.139999999999997</v>
      </c>
      <c r="B89" s="743"/>
      <c r="C89" s="751">
        <f t="shared" si="14"/>
        <v>0</v>
      </c>
      <c r="D89" s="751">
        <f t="shared" si="12"/>
        <v>0</v>
      </c>
      <c r="E89" s="751"/>
      <c r="F89" s="751"/>
      <c r="G89" s="751">
        <f t="shared" si="13"/>
        <v>0</v>
      </c>
      <c r="H89" s="751"/>
      <c r="I89" s="751">
        <f t="shared" si="15"/>
        <v>0</v>
      </c>
      <c r="J89" s="751">
        <f t="shared" si="15"/>
        <v>0</v>
      </c>
      <c r="K89" s="751">
        <f t="shared" si="15"/>
        <v>0</v>
      </c>
      <c r="L89" s="751"/>
      <c r="M89" s="743"/>
      <c r="N89" s="743"/>
      <c r="O89" s="743"/>
      <c r="P89" s="751"/>
      <c r="Q89" s="743"/>
      <c r="R89" s="743"/>
      <c r="S89" s="743"/>
    </row>
    <row r="90" spans="1:19" hidden="1">
      <c r="A90" s="765">
        <f t="shared" si="16"/>
        <v>9.1499999999999968</v>
      </c>
      <c r="B90" s="743"/>
      <c r="C90" s="751">
        <f t="shared" si="14"/>
        <v>0</v>
      </c>
      <c r="D90" s="751">
        <f t="shared" si="12"/>
        <v>0</v>
      </c>
      <c r="E90" s="751"/>
      <c r="F90" s="751"/>
      <c r="G90" s="751">
        <f t="shared" si="13"/>
        <v>0</v>
      </c>
      <c r="H90" s="751"/>
      <c r="I90" s="751">
        <f t="shared" si="15"/>
        <v>0</v>
      </c>
      <c r="J90" s="751">
        <f t="shared" si="15"/>
        <v>0</v>
      </c>
      <c r="K90" s="751">
        <f t="shared" si="15"/>
        <v>0</v>
      </c>
      <c r="L90" s="751"/>
      <c r="M90" s="743"/>
      <c r="N90" s="743"/>
      <c r="O90" s="743"/>
      <c r="P90" s="751"/>
      <c r="Q90" s="743"/>
      <c r="R90" s="743"/>
      <c r="S90" s="743"/>
    </row>
    <row r="91" spans="1:19" hidden="1">
      <c r="A91" s="765">
        <f t="shared" si="16"/>
        <v>9.1599999999999966</v>
      </c>
      <c r="B91" s="743"/>
      <c r="C91" s="751">
        <f t="shared" si="14"/>
        <v>0</v>
      </c>
      <c r="D91" s="751">
        <f t="shared" si="12"/>
        <v>0</v>
      </c>
      <c r="E91" s="751"/>
      <c r="F91" s="751"/>
      <c r="G91" s="751">
        <f t="shared" si="13"/>
        <v>0</v>
      </c>
      <c r="H91" s="751"/>
      <c r="I91" s="751">
        <f t="shared" si="15"/>
        <v>0</v>
      </c>
      <c r="J91" s="751">
        <f t="shared" si="15"/>
        <v>0</v>
      </c>
      <c r="K91" s="751">
        <f t="shared" si="15"/>
        <v>0</v>
      </c>
      <c r="L91" s="751"/>
      <c r="M91" s="743"/>
      <c r="N91" s="743"/>
      <c r="O91" s="743"/>
      <c r="P91" s="751"/>
      <c r="Q91" s="743"/>
      <c r="R91" s="743"/>
      <c r="S91" s="743"/>
    </row>
    <row r="92" spans="1:19" hidden="1">
      <c r="A92" s="765">
        <f t="shared" si="16"/>
        <v>9.1699999999999964</v>
      </c>
      <c r="B92" s="743"/>
      <c r="C92" s="751">
        <f t="shared" si="14"/>
        <v>0</v>
      </c>
      <c r="D92" s="751">
        <f t="shared" si="12"/>
        <v>0</v>
      </c>
      <c r="E92" s="751"/>
      <c r="F92" s="751"/>
      <c r="G92" s="751">
        <f t="shared" si="13"/>
        <v>0</v>
      </c>
      <c r="H92" s="751"/>
      <c r="I92" s="751">
        <f t="shared" si="15"/>
        <v>0</v>
      </c>
      <c r="J92" s="751">
        <f t="shared" si="15"/>
        <v>0</v>
      </c>
      <c r="K92" s="751">
        <f t="shared" si="15"/>
        <v>0</v>
      </c>
      <c r="L92" s="751"/>
      <c r="M92" s="743"/>
      <c r="N92" s="743"/>
      <c r="O92" s="743"/>
      <c r="P92" s="751"/>
      <c r="Q92" s="743"/>
      <c r="R92" s="743"/>
      <c r="S92" s="743"/>
    </row>
    <row r="93" spans="1:19" hidden="1">
      <c r="A93" s="765">
        <f t="shared" si="16"/>
        <v>9.1799999999999962</v>
      </c>
      <c r="B93" s="743"/>
      <c r="C93" s="751">
        <f t="shared" si="14"/>
        <v>0</v>
      </c>
      <c r="D93" s="751">
        <f t="shared" si="12"/>
        <v>0</v>
      </c>
      <c r="E93" s="751"/>
      <c r="F93" s="751"/>
      <c r="G93" s="751">
        <f t="shared" si="13"/>
        <v>0</v>
      </c>
      <c r="H93" s="751"/>
      <c r="I93" s="751">
        <f t="shared" si="15"/>
        <v>0</v>
      </c>
      <c r="J93" s="751">
        <f t="shared" si="15"/>
        <v>0</v>
      </c>
      <c r="K93" s="751">
        <f t="shared" si="15"/>
        <v>0</v>
      </c>
      <c r="L93" s="751"/>
      <c r="M93" s="743"/>
      <c r="N93" s="743"/>
      <c r="O93" s="743"/>
      <c r="P93" s="751"/>
      <c r="Q93" s="743"/>
      <c r="R93" s="743"/>
      <c r="S93" s="743"/>
    </row>
    <row r="94" spans="1:19" hidden="1">
      <c r="A94" s="765">
        <f t="shared" si="16"/>
        <v>9.1899999999999959</v>
      </c>
      <c r="B94" s="743"/>
      <c r="C94" s="751">
        <f t="shared" si="14"/>
        <v>0</v>
      </c>
      <c r="D94" s="751">
        <f t="shared" si="12"/>
        <v>0</v>
      </c>
      <c r="E94" s="751"/>
      <c r="F94" s="751"/>
      <c r="G94" s="751">
        <f t="shared" si="13"/>
        <v>0</v>
      </c>
      <c r="H94" s="751"/>
      <c r="I94" s="751">
        <f t="shared" si="15"/>
        <v>0</v>
      </c>
      <c r="J94" s="751">
        <f t="shared" si="15"/>
        <v>0</v>
      </c>
      <c r="K94" s="751">
        <f t="shared" si="15"/>
        <v>0</v>
      </c>
      <c r="L94" s="751"/>
      <c r="M94" s="743"/>
      <c r="N94" s="743"/>
      <c r="O94" s="743"/>
      <c r="P94" s="751"/>
      <c r="Q94" s="743"/>
      <c r="R94" s="743"/>
      <c r="S94" s="743"/>
    </row>
    <row r="95" spans="1:19" hidden="1">
      <c r="A95" s="765">
        <f t="shared" si="16"/>
        <v>9.1999999999999957</v>
      </c>
      <c r="B95" s="743"/>
      <c r="C95" s="751">
        <f t="shared" si="14"/>
        <v>0</v>
      </c>
      <c r="D95" s="751">
        <f t="shared" si="12"/>
        <v>0</v>
      </c>
      <c r="E95" s="751"/>
      <c r="F95" s="751"/>
      <c r="G95" s="751">
        <f t="shared" si="13"/>
        <v>0</v>
      </c>
      <c r="H95" s="751"/>
      <c r="I95" s="751">
        <f t="shared" si="15"/>
        <v>0</v>
      </c>
      <c r="J95" s="751">
        <f t="shared" si="15"/>
        <v>0</v>
      </c>
      <c r="K95" s="751">
        <f t="shared" si="15"/>
        <v>0</v>
      </c>
      <c r="L95" s="751"/>
      <c r="M95" s="743"/>
      <c r="N95" s="743"/>
      <c r="O95" s="743"/>
      <c r="P95" s="751"/>
      <c r="Q95" s="743"/>
      <c r="R95" s="743"/>
      <c r="S95" s="743"/>
    </row>
    <row r="96" spans="1:19" hidden="1">
      <c r="A96" s="765">
        <f t="shared" si="16"/>
        <v>9.2099999999999955</v>
      </c>
      <c r="B96" s="743"/>
      <c r="C96" s="751">
        <f t="shared" si="14"/>
        <v>0</v>
      </c>
      <c r="D96" s="751">
        <f t="shared" si="12"/>
        <v>0</v>
      </c>
      <c r="E96" s="751"/>
      <c r="F96" s="751"/>
      <c r="G96" s="751">
        <f t="shared" si="13"/>
        <v>0</v>
      </c>
      <c r="H96" s="751"/>
      <c r="I96" s="751">
        <f t="shared" si="15"/>
        <v>0</v>
      </c>
      <c r="J96" s="751">
        <f t="shared" si="15"/>
        <v>0</v>
      </c>
      <c r="K96" s="751">
        <f t="shared" si="15"/>
        <v>0</v>
      </c>
      <c r="L96" s="751"/>
      <c r="M96" s="743"/>
      <c r="N96" s="743"/>
      <c r="O96" s="743"/>
      <c r="P96" s="751"/>
      <c r="Q96" s="743"/>
      <c r="R96" s="743"/>
      <c r="S96" s="743"/>
    </row>
    <row r="97" spans="1:19" hidden="1">
      <c r="A97" s="765">
        <f t="shared" si="16"/>
        <v>9.2199999999999953</v>
      </c>
      <c r="B97" s="743"/>
      <c r="C97" s="751">
        <f t="shared" si="14"/>
        <v>0</v>
      </c>
      <c r="D97" s="751">
        <f t="shared" si="12"/>
        <v>0</v>
      </c>
      <c r="E97" s="751"/>
      <c r="F97" s="751"/>
      <c r="G97" s="751">
        <f t="shared" si="13"/>
        <v>0</v>
      </c>
      <c r="H97" s="751"/>
      <c r="I97" s="751">
        <f t="shared" si="15"/>
        <v>0</v>
      </c>
      <c r="J97" s="751">
        <f t="shared" si="15"/>
        <v>0</v>
      </c>
      <c r="K97" s="751">
        <f t="shared" si="15"/>
        <v>0</v>
      </c>
      <c r="L97" s="751"/>
      <c r="M97" s="743"/>
      <c r="N97" s="743"/>
      <c r="O97" s="743"/>
      <c r="P97" s="751"/>
      <c r="Q97" s="743"/>
      <c r="R97" s="743"/>
      <c r="S97" s="743"/>
    </row>
    <row r="98" spans="1:19" hidden="1">
      <c r="A98" s="765">
        <f t="shared" si="16"/>
        <v>9.2299999999999951</v>
      </c>
      <c r="B98" s="743"/>
      <c r="C98" s="751">
        <f t="shared" si="14"/>
        <v>0</v>
      </c>
      <c r="D98" s="751">
        <f t="shared" si="12"/>
        <v>0</v>
      </c>
      <c r="E98" s="751"/>
      <c r="F98" s="751"/>
      <c r="G98" s="751">
        <f t="shared" si="13"/>
        <v>0</v>
      </c>
      <c r="H98" s="751"/>
      <c r="I98" s="751">
        <f t="shared" si="15"/>
        <v>0</v>
      </c>
      <c r="J98" s="751">
        <f t="shared" si="15"/>
        <v>0</v>
      </c>
      <c r="K98" s="751">
        <f t="shared" si="15"/>
        <v>0</v>
      </c>
      <c r="L98" s="751"/>
      <c r="M98" s="743"/>
      <c r="N98" s="743"/>
      <c r="O98" s="743"/>
      <c r="P98" s="751"/>
      <c r="Q98" s="743"/>
      <c r="R98" s="743"/>
      <c r="S98" s="743"/>
    </row>
    <row r="99" spans="1:19" hidden="1">
      <c r="A99" s="765">
        <f t="shared" si="16"/>
        <v>9.2399999999999949</v>
      </c>
      <c r="B99" s="743"/>
      <c r="C99" s="751">
        <f t="shared" si="14"/>
        <v>0</v>
      </c>
      <c r="D99" s="751">
        <f t="shared" si="12"/>
        <v>0</v>
      </c>
      <c r="E99" s="751"/>
      <c r="F99" s="751"/>
      <c r="G99" s="751">
        <f t="shared" si="13"/>
        <v>0</v>
      </c>
      <c r="H99" s="751"/>
      <c r="I99" s="751">
        <f t="shared" si="15"/>
        <v>0</v>
      </c>
      <c r="J99" s="751">
        <f t="shared" si="15"/>
        <v>0</v>
      </c>
      <c r="K99" s="751">
        <f t="shared" si="15"/>
        <v>0</v>
      </c>
      <c r="L99" s="751"/>
      <c r="M99" s="743"/>
      <c r="N99" s="743"/>
      <c r="O99" s="743"/>
      <c r="P99" s="751"/>
      <c r="Q99" s="743"/>
      <c r="R99" s="743"/>
      <c r="S99" s="743"/>
    </row>
    <row r="100" spans="1:19" hidden="1">
      <c r="A100" s="765">
        <f t="shared" si="16"/>
        <v>9.2499999999999947</v>
      </c>
      <c r="B100" s="743"/>
      <c r="C100" s="751">
        <f t="shared" si="14"/>
        <v>0</v>
      </c>
      <c r="D100" s="751">
        <f t="shared" si="12"/>
        <v>0</v>
      </c>
      <c r="E100" s="751"/>
      <c r="F100" s="751"/>
      <c r="G100" s="751">
        <f>ROUND(SUM(C100:F100)/2,0)</f>
        <v>0</v>
      </c>
      <c r="H100" s="751"/>
      <c r="I100" s="751">
        <f t="shared" si="15"/>
        <v>0</v>
      </c>
      <c r="J100" s="751">
        <f t="shared" si="15"/>
        <v>0</v>
      </c>
      <c r="K100" s="751">
        <f t="shared" si="15"/>
        <v>0</v>
      </c>
      <c r="L100" s="751"/>
      <c r="M100" s="743"/>
      <c r="N100" s="743"/>
      <c r="O100" s="743"/>
      <c r="P100" s="751"/>
      <c r="Q100" s="743"/>
      <c r="R100" s="743"/>
      <c r="S100" s="743"/>
    </row>
    <row r="101" spans="1:19" hidden="1">
      <c r="A101" s="765">
        <f t="shared" si="16"/>
        <v>9.2599999999999945</v>
      </c>
      <c r="B101" s="743"/>
      <c r="C101" s="751">
        <f t="shared" si="14"/>
        <v>0</v>
      </c>
      <c r="D101" s="751">
        <f t="shared" si="12"/>
        <v>0</v>
      </c>
      <c r="E101" s="751"/>
      <c r="F101" s="751"/>
      <c r="G101" s="751">
        <f t="shared" si="13"/>
        <v>0</v>
      </c>
      <c r="H101" s="751"/>
      <c r="I101" s="751">
        <f t="shared" si="15"/>
        <v>0</v>
      </c>
      <c r="J101" s="751">
        <f t="shared" si="15"/>
        <v>0</v>
      </c>
      <c r="K101" s="751">
        <f t="shared" si="15"/>
        <v>0</v>
      </c>
      <c r="L101" s="751"/>
      <c r="M101" s="743"/>
      <c r="N101" s="743"/>
      <c r="O101" s="743"/>
      <c r="P101" s="751"/>
      <c r="Q101" s="743"/>
      <c r="R101" s="743"/>
      <c r="S101" s="743"/>
    </row>
    <row r="102" spans="1:19" hidden="1">
      <c r="A102" s="765">
        <f t="shared" si="16"/>
        <v>9.2699999999999942</v>
      </c>
      <c r="B102" s="743"/>
      <c r="C102" s="751">
        <f t="shared" si="14"/>
        <v>0</v>
      </c>
      <c r="D102" s="751">
        <f t="shared" si="12"/>
        <v>0</v>
      </c>
      <c r="E102" s="751"/>
      <c r="F102" s="751"/>
      <c r="G102" s="751">
        <f t="shared" si="13"/>
        <v>0</v>
      </c>
      <c r="H102" s="751"/>
      <c r="I102" s="751">
        <f t="shared" si="15"/>
        <v>0</v>
      </c>
      <c r="J102" s="751">
        <f t="shared" si="15"/>
        <v>0</v>
      </c>
      <c r="K102" s="751">
        <f t="shared" si="15"/>
        <v>0</v>
      </c>
      <c r="L102" s="751"/>
      <c r="M102" s="743"/>
      <c r="N102" s="743"/>
      <c r="O102" s="743"/>
      <c r="P102" s="751"/>
      <c r="Q102" s="743"/>
      <c r="R102" s="743"/>
      <c r="S102" s="743"/>
    </row>
    <row r="103" spans="1:19" hidden="1">
      <c r="A103" s="765">
        <f t="shared" si="16"/>
        <v>9.279999999999994</v>
      </c>
      <c r="B103" s="743"/>
      <c r="C103" s="751">
        <f t="shared" si="14"/>
        <v>0</v>
      </c>
      <c r="D103" s="751">
        <f t="shared" si="12"/>
        <v>0</v>
      </c>
      <c r="E103" s="751"/>
      <c r="F103" s="751"/>
      <c r="G103" s="751">
        <f>ROUND(SUM(C103:F103)/2,0)</f>
        <v>0</v>
      </c>
      <c r="H103" s="751"/>
      <c r="I103" s="751">
        <f t="shared" si="15"/>
        <v>0</v>
      </c>
      <c r="J103" s="751">
        <f t="shared" si="15"/>
        <v>0</v>
      </c>
      <c r="K103" s="751">
        <f t="shared" si="15"/>
        <v>0</v>
      </c>
      <c r="L103" s="751"/>
      <c r="M103" s="743"/>
      <c r="N103" s="743"/>
      <c r="O103" s="743"/>
      <c r="P103" s="751"/>
      <c r="Q103" s="743"/>
      <c r="R103" s="743"/>
      <c r="S103" s="743"/>
    </row>
    <row r="104" spans="1:19" hidden="1">
      <c r="A104" s="765">
        <f t="shared" si="16"/>
        <v>9.2899999999999938</v>
      </c>
      <c r="B104" s="743"/>
      <c r="C104" s="751">
        <f t="shared" si="14"/>
        <v>0</v>
      </c>
      <c r="D104" s="751">
        <f t="shared" si="12"/>
        <v>0</v>
      </c>
      <c r="E104" s="751"/>
      <c r="F104" s="751"/>
      <c r="G104" s="751">
        <f t="shared" si="13"/>
        <v>0</v>
      </c>
      <c r="H104" s="751"/>
      <c r="I104" s="751">
        <f t="shared" si="15"/>
        <v>0</v>
      </c>
      <c r="J104" s="751">
        <f t="shared" si="15"/>
        <v>0</v>
      </c>
      <c r="K104" s="751">
        <f t="shared" si="15"/>
        <v>0</v>
      </c>
      <c r="L104" s="751"/>
      <c r="M104" s="743"/>
      <c r="N104" s="743"/>
      <c r="O104" s="743"/>
      <c r="P104" s="751"/>
      <c r="Q104" s="743"/>
      <c r="R104" s="743"/>
      <c r="S104" s="743"/>
    </row>
    <row r="105" spans="1:19" hidden="1">
      <c r="A105" s="765">
        <f t="shared" si="16"/>
        <v>9.2999999999999936</v>
      </c>
      <c r="B105" s="743"/>
      <c r="C105" s="751">
        <f t="shared" si="14"/>
        <v>0</v>
      </c>
      <c r="D105" s="751">
        <f t="shared" si="12"/>
        <v>0</v>
      </c>
      <c r="E105" s="751"/>
      <c r="F105" s="751"/>
      <c r="G105" s="751">
        <f t="shared" si="13"/>
        <v>0</v>
      </c>
      <c r="H105" s="751"/>
      <c r="I105" s="751">
        <f t="shared" si="15"/>
        <v>0</v>
      </c>
      <c r="J105" s="751">
        <f t="shared" si="15"/>
        <v>0</v>
      </c>
      <c r="K105" s="751">
        <f t="shared" si="15"/>
        <v>0</v>
      </c>
      <c r="L105" s="751"/>
      <c r="M105" s="743"/>
      <c r="N105" s="743"/>
      <c r="O105" s="743"/>
      <c r="P105" s="751"/>
      <c r="Q105" s="743"/>
      <c r="R105" s="743"/>
      <c r="S105" s="743"/>
    </row>
    <row r="106" spans="1:19" hidden="1">
      <c r="A106" s="765">
        <f t="shared" si="16"/>
        <v>9.3099999999999934</v>
      </c>
      <c r="B106" s="743"/>
      <c r="C106" s="755">
        <f t="shared" si="14"/>
        <v>0</v>
      </c>
      <c r="D106" s="755">
        <f t="shared" si="12"/>
        <v>0</v>
      </c>
      <c r="E106" s="755"/>
      <c r="F106" s="755"/>
      <c r="G106" s="755">
        <f t="shared" si="13"/>
        <v>0</v>
      </c>
      <c r="H106" s="755"/>
      <c r="I106" s="755">
        <f t="shared" si="15"/>
        <v>0</v>
      </c>
      <c r="J106" s="755">
        <f t="shared" si="15"/>
        <v>0</v>
      </c>
      <c r="K106" s="755">
        <f t="shared" si="15"/>
        <v>0</v>
      </c>
      <c r="L106" s="755"/>
      <c r="M106" s="743"/>
      <c r="N106" s="743"/>
      <c r="O106" s="743"/>
      <c r="P106" s="755"/>
      <c r="Q106" s="743"/>
      <c r="R106" s="743"/>
      <c r="S106" s="743"/>
    </row>
    <row r="107" spans="1:19" hidden="1">
      <c r="A107" s="765">
        <f t="shared" si="16"/>
        <v>9.3199999999999932</v>
      </c>
      <c r="B107" s="743"/>
      <c r="C107" s="751">
        <f t="shared" si="14"/>
        <v>0</v>
      </c>
      <c r="D107" s="751">
        <f t="shared" si="12"/>
        <v>0</v>
      </c>
      <c r="E107" s="751"/>
      <c r="F107" s="751"/>
      <c r="G107" s="751">
        <f t="shared" si="13"/>
        <v>0</v>
      </c>
      <c r="H107" s="751"/>
      <c r="I107" s="751">
        <f t="shared" si="15"/>
        <v>0</v>
      </c>
      <c r="J107" s="751">
        <f t="shared" si="15"/>
        <v>0</v>
      </c>
      <c r="K107" s="751">
        <f t="shared" si="15"/>
        <v>0</v>
      </c>
      <c r="L107" s="751"/>
      <c r="M107" s="743"/>
      <c r="N107" s="743"/>
      <c r="O107" s="743"/>
      <c r="P107" s="751"/>
      <c r="Q107" s="743"/>
      <c r="R107" s="743"/>
      <c r="S107" s="743"/>
    </row>
    <row r="108" spans="1:19" hidden="1">
      <c r="A108" s="765">
        <f t="shared" si="16"/>
        <v>9.329999999999993</v>
      </c>
      <c r="B108" s="743"/>
      <c r="C108" s="751">
        <f t="shared" si="14"/>
        <v>0</v>
      </c>
      <c r="D108" s="751">
        <f t="shared" si="12"/>
        <v>0</v>
      </c>
      <c r="E108" s="751"/>
      <c r="F108" s="751"/>
      <c r="G108" s="751">
        <f t="shared" si="13"/>
        <v>0</v>
      </c>
      <c r="H108" s="751"/>
      <c r="I108" s="751">
        <f t="shared" si="15"/>
        <v>0</v>
      </c>
      <c r="J108" s="751">
        <f t="shared" si="15"/>
        <v>0</v>
      </c>
      <c r="K108" s="751">
        <f t="shared" si="15"/>
        <v>0</v>
      </c>
      <c r="L108" s="751"/>
      <c r="M108" s="743"/>
      <c r="N108" s="743"/>
      <c r="O108" s="743"/>
      <c r="P108" s="751"/>
      <c r="Q108" s="743"/>
      <c r="R108" s="743"/>
      <c r="S108" s="743"/>
    </row>
    <row r="109" spans="1:19" hidden="1">
      <c r="A109" s="765">
        <f t="shared" si="16"/>
        <v>9.3399999999999928</v>
      </c>
      <c r="B109" s="743"/>
      <c r="C109" s="751">
        <f t="shared" si="14"/>
        <v>0</v>
      </c>
      <c r="D109" s="751">
        <f t="shared" si="12"/>
        <v>0</v>
      </c>
      <c r="E109" s="751"/>
      <c r="F109" s="751"/>
      <c r="G109" s="751">
        <f t="shared" si="13"/>
        <v>0</v>
      </c>
      <c r="H109" s="751"/>
      <c r="I109" s="751">
        <f t="shared" si="15"/>
        <v>0</v>
      </c>
      <c r="J109" s="751">
        <f t="shared" si="15"/>
        <v>0</v>
      </c>
      <c r="K109" s="751">
        <f t="shared" si="15"/>
        <v>0</v>
      </c>
      <c r="L109" s="751"/>
      <c r="M109" s="743"/>
      <c r="N109" s="743"/>
      <c r="O109" s="743"/>
      <c r="P109" s="751"/>
      <c r="Q109" s="743"/>
      <c r="R109" s="743"/>
      <c r="S109" s="743"/>
    </row>
    <row r="110" spans="1:19" hidden="1">
      <c r="A110" s="765">
        <f t="shared" si="16"/>
        <v>9.3499999999999925</v>
      </c>
      <c r="B110" s="743"/>
      <c r="C110" s="751">
        <f t="shared" si="14"/>
        <v>0</v>
      </c>
      <c r="D110" s="751">
        <f t="shared" si="12"/>
        <v>0</v>
      </c>
      <c r="E110" s="751"/>
      <c r="F110" s="751"/>
      <c r="G110" s="751">
        <f t="shared" si="13"/>
        <v>0</v>
      </c>
      <c r="H110" s="751"/>
      <c r="I110" s="751">
        <f t="shared" si="15"/>
        <v>0</v>
      </c>
      <c r="J110" s="751">
        <f t="shared" si="15"/>
        <v>0</v>
      </c>
      <c r="K110" s="751">
        <f t="shared" si="15"/>
        <v>0</v>
      </c>
      <c r="L110" s="751"/>
      <c r="M110" s="743"/>
      <c r="N110" s="743"/>
      <c r="O110" s="743"/>
      <c r="P110" s="751"/>
      <c r="Q110" s="743"/>
      <c r="R110" s="743"/>
      <c r="S110" s="743"/>
    </row>
    <row r="111" spans="1:19" hidden="1">
      <c r="A111" s="765">
        <f t="shared" si="16"/>
        <v>9.3599999999999923</v>
      </c>
      <c r="B111" s="743"/>
      <c r="C111" s="751">
        <f t="shared" si="14"/>
        <v>0</v>
      </c>
      <c r="D111" s="751">
        <f t="shared" si="12"/>
        <v>0</v>
      </c>
      <c r="E111" s="751"/>
      <c r="F111" s="751"/>
      <c r="G111" s="751">
        <f t="shared" si="13"/>
        <v>0</v>
      </c>
      <c r="H111" s="751"/>
      <c r="I111" s="751">
        <f t="shared" si="15"/>
        <v>0</v>
      </c>
      <c r="J111" s="751">
        <f t="shared" si="15"/>
        <v>0</v>
      </c>
      <c r="K111" s="751">
        <f t="shared" si="15"/>
        <v>0</v>
      </c>
      <c r="L111" s="751"/>
      <c r="M111" s="743"/>
      <c r="N111" s="743"/>
      <c r="O111" s="743"/>
      <c r="P111" s="751"/>
      <c r="Q111" s="743"/>
      <c r="R111" s="743"/>
      <c r="S111" s="743"/>
    </row>
    <row r="112" spans="1:19" hidden="1">
      <c r="A112" s="765">
        <f t="shared" si="16"/>
        <v>9.3699999999999921</v>
      </c>
      <c r="B112" s="743"/>
      <c r="C112" s="751">
        <f t="shared" si="14"/>
        <v>0</v>
      </c>
      <c r="D112" s="751">
        <f t="shared" si="12"/>
        <v>0</v>
      </c>
      <c r="E112" s="751"/>
      <c r="F112" s="751"/>
      <c r="G112" s="751">
        <f t="shared" si="13"/>
        <v>0</v>
      </c>
      <c r="H112" s="751"/>
      <c r="I112" s="751">
        <f t="shared" si="15"/>
        <v>0</v>
      </c>
      <c r="J112" s="751">
        <f t="shared" si="15"/>
        <v>0</v>
      </c>
      <c r="K112" s="751">
        <f t="shared" si="15"/>
        <v>0</v>
      </c>
      <c r="L112" s="751"/>
      <c r="M112" s="743"/>
      <c r="N112" s="743"/>
      <c r="O112" s="743"/>
      <c r="P112" s="751"/>
      <c r="Q112" s="743"/>
      <c r="R112" s="743"/>
      <c r="S112" s="743"/>
    </row>
    <row r="113" spans="1:19" hidden="1">
      <c r="A113" s="765">
        <f t="shared" si="16"/>
        <v>9.3799999999999919</v>
      </c>
      <c r="B113" s="743"/>
      <c r="C113" s="751">
        <f t="shared" si="14"/>
        <v>0</v>
      </c>
      <c r="D113" s="751">
        <f t="shared" si="12"/>
        <v>0</v>
      </c>
      <c r="E113" s="751"/>
      <c r="F113" s="751"/>
      <c r="G113" s="751">
        <f t="shared" si="13"/>
        <v>0</v>
      </c>
      <c r="H113" s="751"/>
      <c r="I113" s="751">
        <f t="shared" si="15"/>
        <v>0</v>
      </c>
      <c r="J113" s="751">
        <f t="shared" si="15"/>
        <v>0</v>
      </c>
      <c r="K113" s="751">
        <f t="shared" si="15"/>
        <v>0</v>
      </c>
      <c r="L113" s="751"/>
      <c r="M113" s="743"/>
      <c r="N113" s="743"/>
      <c r="O113" s="743"/>
      <c r="P113" s="751"/>
      <c r="Q113" s="743"/>
      <c r="R113" s="743"/>
      <c r="S113" s="743"/>
    </row>
    <row r="114" spans="1:19" hidden="1">
      <c r="A114" s="765">
        <f t="shared" si="16"/>
        <v>9.3899999999999917</v>
      </c>
      <c r="B114" s="743"/>
      <c r="C114" s="751">
        <f t="shared" si="14"/>
        <v>0</v>
      </c>
      <c r="D114" s="751">
        <f t="shared" si="12"/>
        <v>0</v>
      </c>
      <c r="E114" s="751"/>
      <c r="F114" s="751"/>
      <c r="G114" s="751">
        <f t="shared" si="13"/>
        <v>0</v>
      </c>
      <c r="H114" s="751"/>
      <c r="I114" s="751">
        <f t="shared" si="15"/>
        <v>0</v>
      </c>
      <c r="J114" s="751">
        <f t="shared" si="15"/>
        <v>0</v>
      </c>
      <c r="K114" s="751">
        <f t="shared" si="15"/>
        <v>0</v>
      </c>
      <c r="L114" s="751"/>
      <c r="M114" s="743"/>
      <c r="N114" s="743"/>
      <c r="O114" s="743"/>
      <c r="P114" s="751"/>
      <c r="Q114" s="743"/>
      <c r="R114" s="743"/>
      <c r="S114" s="743"/>
    </row>
    <row r="115" spans="1:19" hidden="1">
      <c r="A115" s="765">
        <f t="shared" si="16"/>
        <v>9.3999999999999915</v>
      </c>
      <c r="B115" s="743"/>
      <c r="C115" s="751">
        <f t="shared" si="14"/>
        <v>0</v>
      </c>
      <c r="D115" s="751">
        <f t="shared" si="12"/>
        <v>0</v>
      </c>
      <c r="E115" s="751"/>
      <c r="F115" s="751"/>
      <c r="G115" s="751">
        <f t="shared" si="13"/>
        <v>0</v>
      </c>
      <c r="H115" s="751"/>
      <c r="I115" s="751">
        <f t="shared" si="15"/>
        <v>0</v>
      </c>
      <c r="J115" s="751">
        <f t="shared" si="15"/>
        <v>0</v>
      </c>
      <c r="K115" s="751">
        <f t="shared" si="15"/>
        <v>0</v>
      </c>
      <c r="L115" s="751"/>
      <c r="M115" s="743"/>
      <c r="N115" s="743"/>
      <c r="O115" s="743"/>
      <c r="P115" s="751"/>
      <c r="Q115" s="743"/>
      <c r="R115" s="743"/>
      <c r="S115" s="743"/>
    </row>
    <row r="116" spans="1:19" hidden="1">
      <c r="A116" s="765">
        <f t="shared" si="16"/>
        <v>9.4099999999999913</v>
      </c>
      <c r="B116" s="743"/>
      <c r="C116" s="751">
        <f t="shared" si="14"/>
        <v>0</v>
      </c>
      <c r="D116" s="751">
        <f t="shared" si="12"/>
        <v>0</v>
      </c>
      <c r="E116" s="751"/>
      <c r="F116" s="751"/>
      <c r="G116" s="751">
        <f t="shared" si="13"/>
        <v>0</v>
      </c>
      <c r="H116" s="751"/>
      <c r="I116" s="751">
        <f t="shared" si="15"/>
        <v>0</v>
      </c>
      <c r="J116" s="751">
        <f t="shared" si="15"/>
        <v>0</v>
      </c>
      <c r="K116" s="751">
        <f t="shared" si="15"/>
        <v>0</v>
      </c>
      <c r="L116" s="751"/>
      <c r="M116" s="743"/>
      <c r="N116" s="743"/>
      <c r="O116" s="743"/>
      <c r="P116" s="751"/>
      <c r="Q116" s="743"/>
      <c r="R116" s="743"/>
      <c r="S116" s="743"/>
    </row>
    <row r="117" spans="1:19" hidden="1">
      <c r="A117" s="765">
        <f t="shared" si="16"/>
        <v>9.419999999999991</v>
      </c>
      <c r="B117" s="743"/>
      <c r="C117" s="751">
        <f t="shared" si="14"/>
        <v>0</v>
      </c>
      <c r="D117" s="751">
        <f t="shared" si="12"/>
        <v>0</v>
      </c>
      <c r="E117" s="751"/>
      <c r="F117" s="751"/>
      <c r="G117" s="751">
        <f t="shared" si="13"/>
        <v>0</v>
      </c>
      <c r="H117" s="751"/>
      <c r="I117" s="751">
        <f t="shared" si="15"/>
        <v>0</v>
      </c>
      <c r="J117" s="751">
        <f t="shared" si="15"/>
        <v>0</v>
      </c>
      <c r="K117" s="751">
        <f t="shared" si="15"/>
        <v>0</v>
      </c>
      <c r="L117" s="751"/>
      <c r="M117" s="743"/>
      <c r="N117" s="743"/>
      <c r="O117" s="743"/>
      <c r="P117" s="751"/>
      <c r="Q117" s="743"/>
      <c r="R117" s="743"/>
      <c r="S117" s="743"/>
    </row>
    <row r="118" spans="1:19" hidden="1">
      <c r="A118" s="765">
        <f t="shared" si="16"/>
        <v>9.4299999999999908</v>
      </c>
      <c r="B118" s="743"/>
      <c r="C118" s="751">
        <f t="shared" si="14"/>
        <v>0</v>
      </c>
      <c r="D118" s="751">
        <f t="shared" si="12"/>
        <v>0</v>
      </c>
      <c r="E118" s="751"/>
      <c r="F118" s="751"/>
      <c r="G118" s="751">
        <f t="shared" si="13"/>
        <v>0</v>
      </c>
      <c r="H118" s="751"/>
      <c r="I118" s="751">
        <f t="shared" si="15"/>
        <v>0</v>
      </c>
      <c r="J118" s="751">
        <f t="shared" si="15"/>
        <v>0</v>
      </c>
      <c r="K118" s="751">
        <f t="shared" si="15"/>
        <v>0</v>
      </c>
      <c r="L118" s="751"/>
      <c r="M118" s="743"/>
      <c r="N118" s="743"/>
      <c r="O118" s="743"/>
      <c r="P118" s="751"/>
      <c r="Q118" s="743"/>
      <c r="R118" s="743"/>
      <c r="S118" s="743"/>
    </row>
    <row r="119" spans="1:19" hidden="1">
      <c r="A119" s="765">
        <f t="shared" si="16"/>
        <v>9.4399999999999906</v>
      </c>
      <c r="B119" s="743"/>
      <c r="C119" s="751">
        <f t="shared" si="14"/>
        <v>0</v>
      </c>
      <c r="D119" s="751">
        <f t="shared" si="12"/>
        <v>0</v>
      </c>
      <c r="E119" s="751"/>
      <c r="F119" s="751"/>
      <c r="G119" s="751">
        <f t="shared" si="13"/>
        <v>0</v>
      </c>
      <c r="H119" s="751"/>
      <c r="I119" s="751">
        <f t="shared" si="15"/>
        <v>0</v>
      </c>
      <c r="J119" s="751">
        <f t="shared" si="15"/>
        <v>0</v>
      </c>
      <c r="K119" s="751">
        <f t="shared" si="15"/>
        <v>0</v>
      </c>
      <c r="L119" s="751"/>
      <c r="M119" s="743"/>
      <c r="N119" s="743"/>
      <c r="O119" s="743"/>
      <c r="P119" s="751"/>
      <c r="Q119" s="743"/>
      <c r="R119" s="743"/>
      <c r="S119" s="743"/>
    </row>
    <row r="120" spans="1:19" hidden="1">
      <c r="A120" s="765">
        <f t="shared" si="16"/>
        <v>9.4499999999999904</v>
      </c>
      <c r="B120" s="743"/>
      <c r="C120" s="751">
        <f t="shared" si="14"/>
        <v>0</v>
      </c>
      <c r="D120" s="751">
        <f t="shared" si="12"/>
        <v>0</v>
      </c>
      <c r="E120" s="751"/>
      <c r="F120" s="751"/>
      <c r="G120" s="751">
        <f t="shared" si="13"/>
        <v>0</v>
      </c>
      <c r="H120" s="751"/>
      <c r="I120" s="751">
        <f t="shared" si="15"/>
        <v>0</v>
      </c>
      <c r="J120" s="751">
        <f t="shared" si="15"/>
        <v>0</v>
      </c>
      <c r="K120" s="751">
        <f t="shared" si="15"/>
        <v>0</v>
      </c>
      <c r="L120" s="751"/>
      <c r="M120" s="743"/>
      <c r="N120" s="743"/>
      <c r="O120" s="743"/>
      <c r="P120" s="751"/>
      <c r="Q120" s="743"/>
      <c r="R120" s="743"/>
      <c r="S120" s="743"/>
    </row>
    <row r="121" spans="1:19" hidden="1">
      <c r="A121" s="765">
        <f t="shared" si="16"/>
        <v>9.4599999999999902</v>
      </c>
      <c r="B121" s="743"/>
      <c r="C121" s="751">
        <f t="shared" si="14"/>
        <v>0</v>
      </c>
      <c r="D121" s="751">
        <f t="shared" si="12"/>
        <v>0</v>
      </c>
      <c r="E121" s="751"/>
      <c r="F121" s="751"/>
      <c r="G121" s="751">
        <f t="shared" si="13"/>
        <v>0</v>
      </c>
      <c r="H121" s="751"/>
      <c r="I121" s="751">
        <f t="shared" si="15"/>
        <v>0</v>
      </c>
      <c r="J121" s="751">
        <f t="shared" si="15"/>
        <v>0</v>
      </c>
      <c r="K121" s="751">
        <f t="shared" si="15"/>
        <v>0</v>
      </c>
      <c r="L121" s="751"/>
      <c r="M121" s="743"/>
      <c r="N121" s="743"/>
      <c r="O121" s="743"/>
      <c r="P121" s="751"/>
      <c r="Q121" s="743"/>
      <c r="R121" s="743"/>
      <c r="S121" s="743"/>
    </row>
    <row r="122" spans="1:19" hidden="1">
      <c r="A122" s="765">
        <f t="shared" si="16"/>
        <v>9.46999999999999</v>
      </c>
      <c r="B122" s="743"/>
      <c r="C122" s="751">
        <f t="shared" si="14"/>
        <v>0</v>
      </c>
      <c r="D122" s="751">
        <f t="shared" si="12"/>
        <v>0</v>
      </c>
      <c r="E122" s="751"/>
      <c r="F122" s="751"/>
      <c r="G122" s="751">
        <f t="shared" si="13"/>
        <v>0</v>
      </c>
      <c r="H122" s="751"/>
      <c r="I122" s="751">
        <f t="shared" si="15"/>
        <v>0</v>
      </c>
      <c r="J122" s="751">
        <f t="shared" si="15"/>
        <v>0</v>
      </c>
      <c r="K122" s="751">
        <f t="shared" si="15"/>
        <v>0</v>
      </c>
      <c r="L122" s="751"/>
      <c r="M122" s="743"/>
      <c r="N122" s="743"/>
      <c r="O122" s="743"/>
      <c r="P122" s="751"/>
      <c r="Q122" s="743"/>
      <c r="R122" s="743"/>
      <c r="S122" s="743"/>
    </row>
    <row r="123" spans="1:19" hidden="1">
      <c r="A123" s="765">
        <f t="shared" si="16"/>
        <v>9.4799999999999898</v>
      </c>
      <c r="B123" s="743"/>
      <c r="C123" s="751">
        <f t="shared" si="14"/>
        <v>0</v>
      </c>
      <c r="D123" s="751">
        <f t="shared" si="12"/>
        <v>0</v>
      </c>
      <c r="E123" s="751"/>
      <c r="F123" s="751"/>
      <c r="G123" s="751">
        <f t="shared" si="13"/>
        <v>0</v>
      </c>
      <c r="H123" s="751"/>
      <c r="I123" s="751">
        <f t="shared" si="15"/>
        <v>0</v>
      </c>
      <c r="J123" s="751">
        <f t="shared" si="15"/>
        <v>0</v>
      </c>
      <c r="K123" s="751">
        <f t="shared" si="15"/>
        <v>0</v>
      </c>
      <c r="L123" s="751"/>
      <c r="M123" s="743"/>
      <c r="N123" s="743"/>
      <c r="O123" s="743"/>
      <c r="P123" s="751"/>
      <c r="Q123" s="743"/>
      <c r="R123" s="743"/>
      <c r="S123" s="743"/>
    </row>
    <row r="124" spans="1:19" hidden="1">
      <c r="A124" s="765">
        <f t="shared" si="16"/>
        <v>9.4899999999999896</v>
      </c>
      <c r="B124" s="743"/>
      <c r="C124" s="751">
        <f t="shared" si="14"/>
        <v>0</v>
      </c>
      <c r="D124" s="751">
        <f t="shared" si="12"/>
        <v>0</v>
      </c>
      <c r="E124" s="751"/>
      <c r="F124" s="751"/>
      <c r="G124" s="751">
        <f t="shared" si="13"/>
        <v>0</v>
      </c>
      <c r="H124" s="751"/>
      <c r="I124" s="751">
        <f t="shared" si="15"/>
        <v>0</v>
      </c>
      <c r="J124" s="751">
        <f t="shared" si="15"/>
        <v>0</v>
      </c>
      <c r="K124" s="751">
        <f t="shared" si="15"/>
        <v>0</v>
      </c>
      <c r="L124" s="751"/>
      <c r="M124" s="743"/>
      <c r="N124" s="743"/>
      <c r="O124" s="743"/>
      <c r="P124" s="751"/>
      <c r="Q124" s="743"/>
      <c r="R124" s="743"/>
      <c r="S124" s="743"/>
    </row>
    <row r="125" spans="1:19" hidden="1">
      <c r="A125" s="765">
        <f t="shared" si="16"/>
        <v>9.4999999999999893</v>
      </c>
      <c r="B125" s="743"/>
      <c r="C125" s="751">
        <f t="shared" si="14"/>
        <v>0</v>
      </c>
      <c r="D125" s="751">
        <f t="shared" si="12"/>
        <v>0</v>
      </c>
      <c r="E125" s="751"/>
      <c r="F125" s="751"/>
      <c r="G125" s="751">
        <f t="shared" si="13"/>
        <v>0</v>
      </c>
      <c r="H125" s="751"/>
      <c r="I125" s="751">
        <f t="shared" si="15"/>
        <v>0</v>
      </c>
      <c r="J125" s="751">
        <f t="shared" si="15"/>
        <v>0</v>
      </c>
      <c r="K125" s="751">
        <f t="shared" si="15"/>
        <v>0</v>
      </c>
      <c r="L125" s="751"/>
      <c r="M125" s="743"/>
      <c r="N125" s="743"/>
      <c r="O125" s="743"/>
      <c r="P125" s="751"/>
      <c r="Q125" s="743"/>
      <c r="R125" s="743"/>
      <c r="S125" s="743"/>
    </row>
    <row r="126" spans="1:19" hidden="1">
      <c r="A126" s="765">
        <f t="shared" si="16"/>
        <v>9.5099999999999891</v>
      </c>
      <c r="B126" s="743"/>
      <c r="C126" s="751">
        <f t="shared" si="14"/>
        <v>0</v>
      </c>
      <c r="D126" s="751">
        <f t="shared" si="12"/>
        <v>0</v>
      </c>
      <c r="E126" s="751"/>
      <c r="F126" s="751"/>
      <c r="G126" s="751">
        <f t="shared" si="13"/>
        <v>0</v>
      </c>
      <c r="H126" s="751"/>
      <c r="I126" s="751">
        <f t="shared" si="15"/>
        <v>0</v>
      </c>
      <c r="J126" s="751">
        <f t="shared" si="15"/>
        <v>0</v>
      </c>
      <c r="K126" s="751">
        <f t="shared" si="15"/>
        <v>0</v>
      </c>
      <c r="L126" s="751"/>
      <c r="M126" s="743"/>
      <c r="N126" s="743"/>
      <c r="O126" s="743"/>
      <c r="P126" s="751"/>
      <c r="Q126" s="743"/>
      <c r="R126" s="743"/>
      <c r="S126" s="743"/>
    </row>
    <row r="127" spans="1:19" hidden="1">
      <c r="A127" s="765">
        <f t="shared" si="16"/>
        <v>9.5199999999999889</v>
      </c>
      <c r="B127" s="743"/>
      <c r="C127" s="751">
        <f t="shared" si="14"/>
        <v>0</v>
      </c>
      <c r="D127" s="751">
        <f t="shared" si="12"/>
        <v>0</v>
      </c>
      <c r="E127" s="751"/>
      <c r="F127" s="751"/>
      <c r="G127" s="751">
        <f t="shared" si="13"/>
        <v>0</v>
      </c>
      <c r="H127" s="751"/>
      <c r="I127" s="751">
        <f t="shared" si="15"/>
        <v>0</v>
      </c>
      <c r="J127" s="751">
        <f t="shared" si="15"/>
        <v>0</v>
      </c>
      <c r="K127" s="751">
        <f t="shared" si="15"/>
        <v>0</v>
      </c>
      <c r="L127" s="751"/>
      <c r="M127" s="743"/>
      <c r="N127" s="743"/>
      <c r="O127" s="743"/>
      <c r="P127" s="751"/>
      <c r="Q127" s="743"/>
      <c r="R127" s="743"/>
      <c r="S127" s="743"/>
    </row>
    <row r="128" spans="1:19" hidden="1">
      <c r="A128" s="765">
        <f t="shared" si="16"/>
        <v>9.5299999999999887</v>
      </c>
      <c r="B128" s="743"/>
      <c r="C128" s="751">
        <f t="shared" si="14"/>
        <v>0</v>
      </c>
      <c r="D128" s="751">
        <f t="shared" si="12"/>
        <v>0</v>
      </c>
      <c r="E128" s="751"/>
      <c r="F128" s="751"/>
      <c r="G128" s="751">
        <f t="shared" si="13"/>
        <v>0</v>
      </c>
      <c r="H128" s="751"/>
      <c r="I128" s="751">
        <f t="shared" si="15"/>
        <v>0</v>
      </c>
      <c r="J128" s="751">
        <f t="shared" si="15"/>
        <v>0</v>
      </c>
      <c r="K128" s="751">
        <f t="shared" si="15"/>
        <v>0</v>
      </c>
      <c r="L128" s="751"/>
      <c r="M128" s="743"/>
      <c r="N128" s="743"/>
      <c r="O128" s="743"/>
      <c r="P128" s="751"/>
      <c r="Q128" s="743"/>
      <c r="R128" s="743"/>
      <c r="S128" s="743"/>
    </row>
    <row r="129" spans="1:19" hidden="1">
      <c r="A129" s="765">
        <f t="shared" si="16"/>
        <v>9.5399999999999885</v>
      </c>
      <c r="B129" s="743"/>
      <c r="C129" s="751">
        <f t="shared" si="14"/>
        <v>0</v>
      </c>
      <c r="D129" s="751">
        <f t="shared" si="12"/>
        <v>0</v>
      </c>
      <c r="E129" s="751"/>
      <c r="F129" s="751"/>
      <c r="G129" s="751">
        <f t="shared" si="13"/>
        <v>0</v>
      </c>
      <c r="H129" s="751"/>
      <c r="I129" s="751">
        <f t="shared" si="15"/>
        <v>0</v>
      </c>
      <c r="J129" s="751">
        <f t="shared" si="15"/>
        <v>0</v>
      </c>
      <c r="K129" s="751">
        <f t="shared" si="15"/>
        <v>0</v>
      </c>
      <c r="L129" s="751"/>
      <c r="M129" s="743"/>
      <c r="N129" s="743"/>
      <c r="O129" s="743"/>
      <c r="P129" s="751"/>
      <c r="Q129" s="743"/>
      <c r="R129" s="743"/>
      <c r="S129" s="743"/>
    </row>
    <row r="130" spans="1:19" hidden="1">
      <c r="A130" s="765">
        <f t="shared" si="16"/>
        <v>9.5499999999999883</v>
      </c>
      <c r="B130" s="743"/>
      <c r="C130" s="751">
        <f t="shared" si="14"/>
        <v>0</v>
      </c>
      <c r="D130" s="751">
        <f t="shared" si="12"/>
        <v>0</v>
      </c>
      <c r="E130" s="751"/>
      <c r="F130" s="751"/>
      <c r="G130" s="751">
        <f t="shared" si="13"/>
        <v>0</v>
      </c>
      <c r="H130" s="751"/>
      <c r="I130" s="751">
        <f t="shared" si="15"/>
        <v>0</v>
      </c>
      <c r="J130" s="751">
        <f t="shared" si="15"/>
        <v>0</v>
      </c>
      <c r="K130" s="751">
        <f t="shared" si="15"/>
        <v>0</v>
      </c>
      <c r="L130" s="751"/>
      <c r="M130" s="743"/>
      <c r="N130" s="743"/>
      <c r="O130" s="743"/>
      <c r="P130" s="751"/>
      <c r="Q130" s="743"/>
      <c r="R130" s="743"/>
      <c r="S130" s="743"/>
    </row>
    <row r="131" spans="1:19" hidden="1">
      <c r="A131" s="765">
        <f t="shared" si="16"/>
        <v>9.5599999999999881</v>
      </c>
      <c r="B131" s="743"/>
      <c r="C131" s="751">
        <f t="shared" si="14"/>
        <v>0</v>
      </c>
      <c r="D131" s="751">
        <f t="shared" si="12"/>
        <v>0</v>
      </c>
      <c r="E131" s="751"/>
      <c r="F131" s="751"/>
      <c r="G131" s="751">
        <f>ROUND(SUM(C131:F131)/2,0)</f>
        <v>0</v>
      </c>
      <c r="H131" s="751"/>
      <c r="I131" s="751">
        <f t="shared" si="15"/>
        <v>0</v>
      </c>
      <c r="J131" s="751">
        <f t="shared" si="15"/>
        <v>0</v>
      </c>
      <c r="K131" s="751">
        <f t="shared" si="15"/>
        <v>0</v>
      </c>
      <c r="L131" s="751"/>
      <c r="M131" s="743"/>
      <c r="N131" s="743"/>
      <c r="O131" s="743"/>
      <c r="P131" s="751"/>
      <c r="Q131" s="743"/>
      <c r="R131" s="743"/>
      <c r="S131" s="743"/>
    </row>
    <row r="132" spans="1:19" hidden="1">
      <c r="A132" s="765">
        <f t="shared" si="16"/>
        <v>9.5699999999999878</v>
      </c>
      <c r="B132" s="743"/>
      <c r="C132" s="751">
        <f t="shared" si="14"/>
        <v>0</v>
      </c>
      <c r="D132" s="751">
        <f t="shared" si="12"/>
        <v>0</v>
      </c>
      <c r="E132" s="751"/>
      <c r="F132" s="751"/>
      <c r="G132" s="751">
        <f>ROUND(SUM(C132:F132)/2,0)</f>
        <v>0</v>
      </c>
      <c r="H132" s="751"/>
      <c r="I132" s="751">
        <f t="shared" si="15"/>
        <v>0</v>
      </c>
      <c r="J132" s="751">
        <f t="shared" si="15"/>
        <v>0</v>
      </c>
      <c r="K132" s="751">
        <f t="shared" si="15"/>
        <v>0</v>
      </c>
      <c r="L132" s="751"/>
      <c r="M132" s="743"/>
      <c r="N132" s="743"/>
      <c r="O132" s="743"/>
      <c r="P132" s="751"/>
      <c r="Q132" s="743"/>
      <c r="R132" s="743"/>
      <c r="S132" s="743"/>
    </row>
    <row r="133" spans="1:19" hidden="1">
      <c r="A133" s="765">
        <f t="shared" si="16"/>
        <v>9.5799999999999876</v>
      </c>
      <c r="B133" s="743"/>
      <c r="C133" s="751">
        <f t="shared" si="14"/>
        <v>0</v>
      </c>
      <c r="D133" s="751">
        <f t="shared" si="12"/>
        <v>0</v>
      </c>
      <c r="E133" s="751"/>
      <c r="F133" s="751"/>
      <c r="G133" s="751">
        <f>ROUND(SUM(C133:F133)/2,0)</f>
        <v>0</v>
      </c>
      <c r="H133" s="751"/>
      <c r="I133" s="751">
        <f t="shared" si="15"/>
        <v>0</v>
      </c>
      <c r="J133" s="751">
        <f t="shared" si="15"/>
        <v>0</v>
      </c>
      <c r="K133" s="751">
        <f t="shared" si="15"/>
        <v>0</v>
      </c>
      <c r="L133" s="751"/>
      <c r="M133" s="743"/>
      <c r="N133" s="743"/>
      <c r="O133" s="743"/>
      <c r="P133" s="751"/>
      <c r="Q133" s="743"/>
      <c r="R133" s="743"/>
      <c r="S133" s="743"/>
    </row>
    <row r="134" spans="1:19" hidden="1">
      <c r="A134" s="765">
        <f t="shared" si="16"/>
        <v>9.5899999999999874</v>
      </c>
      <c r="B134" s="743"/>
      <c r="C134" s="751">
        <f t="shared" si="14"/>
        <v>0</v>
      </c>
      <c r="D134" s="751">
        <f t="shared" si="12"/>
        <v>0</v>
      </c>
      <c r="E134" s="751"/>
      <c r="F134" s="751"/>
      <c r="G134" s="751">
        <f t="shared" ref="G134:G174" si="17">ROUND(SUM(C134:F134)/2,0)</f>
        <v>0</v>
      </c>
      <c r="H134" s="751"/>
      <c r="I134" s="751">
        <f t="shared" si="15"/>
        <v>0</v>
      </c>
      <c r="J134" s="751">
        <f t="shared" si="15"/>
        <v>0</v>
      </c>
      <c r="K134" s="751">
        <f t="shared" si="15"/>
        <v>0</v>
      </c>
      <c r="L134" s="751"/>
      <c r="M134" s="743"/>
      <c r="N134" s="743"/>
      <c r="O134" s="743"/>
      <c r="P134" s="751"/>
      <c r="Q134" s="743"/>
      <c r="R134" s="743"/>
      <c r="S134" s="743"/>
    </row>
    <row r="135" spans="1:19" hidden="1">
      <c r="A135" s="765">
        <f t="shared" si="16"/>
        <v>9.5999999999999872</v>
      </c>
      <c r="B135" s="743"/>
      <c r="C135" s="751">
        <f t="shared" si="14"/>
        <v>0</v>
      </c>
      <c r="D135" s="751">
        <f t="shared" si="12"/>
        <v>0</v>
      </c>
      <c r="E135" s="751"/>
      <c r="F135" s="751"/>
      <c r="G135" s="751">
        <f t="shared" si="17"/>
        <v>0</v>
      </c>
      <c r="H135" s="751"/>
      <c r="I135" s="751">
        <f t="shared" si="15"/>
        <v>0</v>
      </c>
      <c r="J135" s="751">
        <f t="shared" si="15"/>
        <v>0</v>
      </c>
      <c r="K135" s="751">
        <f t="shared" si="15"/>
        <v>0</v>
      </c>
      <c r="L135" s="751"/>
      <c r="M135" s="743"/>
      <c r="N135" s="743"/>
      <c r="O135" s="743"/>
      <c r="P135" s="751"/>
      <c r="Q135" s="743"/>
      <c r="R135" s="743"/>
      <c r="S135" s="743"/>
    </row>
    <row r="136" spans="1:19" hidden="1">
      <c r="A136" s="765">
        <f t="shared" si="16"/>
        <v>9.609999999999987</v>
      </c>
      <c r="B136" s="743"/>
      <c r="C136" s="751">
        <f t="shared" si="14"/>
        <v>0</v>
      </c>
      <c r="D136" s="751">
        <f t="shared" si="12"/>
        <v>0</v>
      </c>
      <c r="E136" s="751"/>
      <c r="F136" s="751"/>
      <c r="G136" s="751">
        <f t="shared" si="17"/>
        <v>0</v>
      </c>
      <c r="H136" s="751"/>
      <c r="I136" s="751">
        <f t="shared" si="15"/>
        <v>0</v>
      </c>
      <c r="J136" s="751">
        <f t="shared" si="15"/>
        <v>0</v>
      </c>
      <c r="K136" s="751">
        <f t="shared" si="15"/>
        <v>0</v>
      </c>
      <c r="L136" s="751"/>
      <c r="M136" s="743"/>
      <c r="N136" s="743"/>
      <c r="O136" s="743"/>
      <c r="P136" s="751"/>
      <c r="Q136" s="743"/>
      <c r="R136" s="743"/>
      <c r="S136" s="743"/>
    </row>
    <row r="137" spans="1:19" hidden="1">
      <c r="A137" s="765">
        <f t="shared" si="16"/>
        <v>9.6199999999999868</v>
      </c>
      <c r="B137" s="743"/>
      <c r="C137" s="751">
        <f t="shared" si="14"/>
        <v>0</v>
      </c>
      <c r="D137" s="751">
        <f t="shared" si="12"/>
        <v>0</v>
      </c>
      <c r="E137" s="751"/>
      <c r="F137" s="751"/>
      <c r="G137" s="751">
        <f t="shared" si="17"/>
        <v>0</v>
      </c>
      <c r="H137" s="751"/>
      <c r="I137" s="751">
        <f t="shared" ref="I137:K157" si="18">(M137+Q137)/2</f>
        <v>0</v>
      </c>
      <c r="J137" s="751">
        <f t="shared" si="18"/>
        <v>0</v>
      </c>
      <c r="K137" s="751">
        <f t="shared" si="18"/>
        <v>0</v>
      </c>
      <c r="L137" s="751"/>
      <c r="M137" s="743"/>
      <c r="N137" s="743"/>
      <c r="O137" s="743"/>
      <c r="P137" s="751"/>
      <c r="Q137" s="743"/>
      <c r="R137" s="743"/>
      <c r="S137" s="743"/>
    </row>
    <row r="138" spans="1:19" hidden="1">
      <c r="A138" s="765">
        <f t="shared" si="16"/>
        <v>9.6299999999999866</v>
      </c>
      <c r="B138" s="743"/>
      <c r="C138" s="751">
        <f t="shared" si="14"/>
        <v>0</v>
      </c>
      <c r="D138" s="751">
        <f t="shared" si="12"/>
        <v>0</v>
      </c>
      <c r="E138" s="751"/>
      <c r="F138" s="751"/>
      <c r="G138" s="751">
        <f t="shared" si="17"/>
        <v>0</v>
      </c>
      <c r="H138" s="751"/>
      <c r="I138" s="751">
        <f t="shared" si="18"/>
        <v>0</v>
      </c>
      <c r="J138" s="751">
        <f t="shared" si="18"/>
        <v>0</v>
      </c>
      <c r="K138" s="751">
        <f t="shared" si="18"/>
        <v>0</v>
      </c>
      <c r="L138" s="751"/>
      <c r="M138" s="743"/>
      <c r="N138" s="743"/>
      <c r="O138" s="743"/>
      <c r="P138" s="751"/>
      <c r="Q138" s="743"/>
      <c r="R138" s="743"/>
      <c r="S138" s="743"/>
    </row>
    <row r="139" spans="1:19" hidden="1">
      <c r="A139" s="765">
        <f t="shared" si="16"/>
        <v>9.6399999999999864</v>
      </c>
      <c r="B139" s="743"/>
      <c r="C139" s="755">
        <f t="shared" si="14"/>
        <v>0</v>
      </c>
      <c r="D139" s="755">
        <f t="shared" si="12"/>
        <v>0</v>
      </c>
      <c r="E139" s="755"/>
      <c r="F139" s="755"/>
      <c r="G139" s="755">
        <f t="shared" si="17"/>
        <v>0</v>
      </c>
      <c r="H139" s="755"/>
      <c r="I139" s="755">
        <f t="shared" si="18"/>
        <v>0</v>
      </c>
      <c r="J139" s="755">
        <f t="shared" si="18"/>
        <v>0</v>
      </c>
      <c r="K139" s="755">
        <f t="shared" si="18"/>
        <v>0</v>
      </c>
      <c r="L139" s="755"/>
      <c r="M139" s="743"/>
      <c r="N139" s="743"/>
      <c r="O139" s="743"/>
      <c r="P139" s="755"/>
      <c r="Q139" s="743"/>
      <c r="R139" s="743"/>
      <c r="S139" s="743"/>
    </row>
    <row r="140" spans="1:19" hidden="1">
      <c r="A140" s="765">
        <f>A139+0.01</f>
        <v>9.6499999999999861</v>
      </c>
      <c r="B140" s="743"/>
      <c r="C140" s="751">
        <f t="shared" si="14"/>
        <v>0</v>
      </c>
      <c r="D140" s="751">
        <f t="shared" ref="D140:D168" si="19">SUM(Q140:S140)</f>
        <v>0</v>
      </c>
      <c r="E140" s="751"/>
      <c r="F140" s="751"/>
      <c r="G140" s="751">
        <f t="shared" si="17"/>
        <v>0</v>
      </c>
      <c r="H140" s="751"/>
      <c r="I140" s="751">
        <f t="shared" si="18"/>
        <v>0</v>
      </c>
      <c r="J140" s="751">
        <f t="shared" si="18"/>
        <v>0</v>
      </c>
      <c r="K140" s="751">
        <f t="shared" si="18"/>
        <v>0</v>
      </c>
      <c r="L140" s="751"/>
      <c r="M140" s="743"/>
      <c r="N140" s="743"/>
      <c r="O140" s="743"/>
      <c r="P140" s="751"/>
      <c r="Q140" s="743"/>
      <c r="R140" s="743"/>
      <c r="S140" s="743"/>
    </row>
    <row r="141" spans="1:19" hidden="1">
      <c r="A141" s="765">
        <f t="shared" si="16"/>
        <v>9.6599999999999859</v>
      </c>
      <c r="B141" s="743"/>
      <c r="C141" s="751">
        <f t="shared" ref="C141:C168" si="20">SUM(M141:O141)</f>
        <v>0</v>
      </c>
      <c r="D141" s="751">
        <f t="shared" si="19"/>
        <v>0</v>
      </c>
      <c r="E141" s="751"/>
      <c r="F141" s="751"/>
      <c r="G141" s="751">
        <f t="shared" si="17"/>
        <v>0</v>
      </c>
      <c r="H141" s="751"/>
      <c r="I141" s="751">
        <f t="shared" si="18"/>
        <v>0</v>
      </c>
      <c r="J141" s="751">
        <f t="shared" si="18"/>
        <v>0</v>
      </c>
      <c r="K141" s="751">
        <f t="shared" si="18"/>
        <v>0</v>
      </c>
      <c r="L141" s="751"/>
      <c r="M141" s="743"/>
      <c r="N141" s="743"/>
      <c r="O141" s="743"/>
      <c r="P141" s="751"/>
      <c r="Q141" s="743"/>
      <c r="R141" s="743"/>
      <c r="S141" s="743"/>
    </row>
    <row r="142" spans="1:19" hidden="1">
      <c r="A142" s="765">
        <f t="shared" ref="A142:A174" si="21">A141+0.01</f>
        <v>9.6699999999999857</v>
      </c>
      <c r="B142" s="743"/>
      <c r="C142" s="751">
        <f t="shared" si="20"/>
        <v>0</v>
      </c>
      <c r="D142" s="751">
        <f t="shared" si="19"/>
        <v>0</v>
      </c>
      <c r="E142" s="751"/>
      <c r="F142" s="751"/>
      <c r="G142" s="751">
        <f t="shared" si="17"/>
        <v>0</v>
      </c>
      <c r="H142" s="751"/>
      <c r="I142" s="751">
        <f t="shared" si="18"/>
        <v>0</v>
      </c>
      <c r="J142" s="751">
        <f t="shared" si="18"/>
        <v>0</v>
      </c>
      <c r="K142" s="751">
        <f t="shared" si="18"/>
        <v>0</v>
      </c>
      <c r="L142" s="751"/>
      <c r="M142" s="743"/>
      <c r="N142" s="743"/>
      <c r="O142" s="743"/>
      <c r="P142" s="751"/>
      <c r="Q142" s="743"/>
      <c r="R142" s="743"/>
      <c r="S142" s="743"/>
    </row>
    <row r="143" spans="1:19" hidden="1">
      <c r="A143" s="765">
        <f t="shared" si="21"/>
        <v>9.6799999999999855</v>
      </c>
      <c r="B143" s="743"/>
      <c r="C143" s="751">
        <f t="shared" si="20"/>
        <v>0</v>
      </c>
      <c r="D143" s="751">
        <f t="shared" si="19"/>
        <v>0</v>
      </c>
      <c r="E143" s="751"/>
      <c r="F143" s="751"/>
      <c r="G143" s="751">
        <f t="shared" si="17"/>
        <v>0</v>
      </c>
      <c r="H143" s="751"/>
      <c r="I143" s="751">
        <f t="shared" si="18"/>
        <v>0</v>
      </c>
      <c r="J143" s="751">
        <f t="shared" si="18"/>
        <v>0</v>
      </c>
      <c r="K143" s="751">
        <f t="shared" si="18"/>
        <v>0</v>
      </c>
      <c r="L143" s="751"/>
      <c r="M143" s="743"/>
      <c r="N143" s="743"/>
      <c r="O143" s="743"/>
      <c r="P143" s="751"/>
      <c r="Q143" s="743"/>
      <c r="R143" s="743"/>
      <c r="S143" s="743"/>
    </row>
    <row r="144" spans="1:19" hidden="1">
      <c r="A144" s="765">
        <f t="shared" si="21"/>
        <v>9.6899999999999853</v>
      </c>
      <c r="B144" s="743"/>
      <c r="C144" s="751">
        <f t="shared" si="20"/>
        <v>0</v>
      </c>
      <c r="D144" s="751">
        <f t="shared" si="19"/>
        <v>0</v>
      </c>
      <c r="E144" s="751"/>
      <c r="F144" s="751"/>
      <c r="G144" s="751">
        <f t="shared" si="17"/>
        <v>0</v>
      </c>
      <c r="H144" s="751"/>
      <c r="I144" s="751">
        <f t="shared" si="18"/>
        <v>0</v>
      </c>
      <c r="J144" s="751">
        <f t="shared" si="18"/>
        <v>0</v>
      </c>
      <c r="K144" s="751">
        <f t="shared" si="18"/>
        <v>0</v>
      </c>
      <c r="L144" s="751"/>
      <c r="M144" s="743"/>
      <c r="N144" s="743"/>
      <c r="O144" s="743"/>
      <c r="P144" s="751"/>
      <c r="Q144" s="743"/>
      <c r="R144" s="743"/>
      <c r="S144" s="743"/>
    </row>
    <row r="145" spans="1:19" hidden="1">
      <c r="A145" s="765">
        <f t="shared" si="21"/>
        <v>9.6999999999999851</v>
      </c>
      <c r="B145" s="743"/>
      <c r="C145" s="751">
        <f>SUM(M145:O145)</f>
        <v>0</v>
      </c>
      <c r="D145" s="751">
        <f t="shared" si="19"/>
        <v>0</v>
      </c>
      <c r="E145" s="751"/>
      <c r="F145" s="751"/>
      <c r="G145" s="751">
        <f t="shared" si="17"/>
        <v>0</v>
      </c>
      <c r="H145" s="751"/>
      <c r="I145" s="751">
        <f t="shared" si="18"/>
        <v>0</v>
      </c>
      <c r="J145" s="751">
        <f t="shared" si="18"/>
        <v>0</v>
      </c>
      <c r="K145" s="751">
        <f t="shared" si="18"/>
        <v>0</v>
      </c>
      <c r="L145" s="751"/>
      <c r="M145" s="743"/>
      <c r="N145" s="743"/>
      <c r="O145" s="743"/>
      <c r="P145" s="751"/>
      <c r="Q145" s="743"/>
      <c r="R145" s="743"/>
      <c r="S145" s="743"/>
    </row>
    <row r="146" spans="1:19" hidden="1">
      <c r="A146" s="765">
        <f t="shared" si="21"/>
        <v>9.7099999999999849</v>
      </c>
      <c r="B146" s="743"/>
      <c r="C146" s="751">
        <f t="shared" si="20"/>
        <v>0</v>
      </c>
      <c r="D146" s="751">
        <f t="shared" si="19"/>
        <v>0</v>
      </c>
      <c r="E146" s="751"/>
      <c r="F146" s="751"/>
      <c r="G146" s="751">
        <f t="shared" si="17"/>
        <v>0</v>
      </c>
      <c r="H146" s="751"/>
      <c r="I146" s="751">
        <f t="shared" si="18"/>
        <v>0</v>
      </c>
      <c r="J146" s="751">
        <f t="shared" si="18"/>
        <v>0</v>
      </c>
      <c r="K146" s="751">
        <f t="shared" si="18"/>
        <v>0</v>
      </c>
      <c r="L146" s="751"/>
      <c r="M146" s="743"/>
      <c r="N146" s="743"/>
      <c r="O146" s="743"/>
      <c r="P146" s="751"/>
      <c r="Q146" s="743"/>
      <c r="R146" s="743"/>
      <c r="S146" s="743"/>
    </row>
    <row r="147" spans="1:19" hidden="1">
      <c r="A147" s="765">
        <f t="shared" si="21"/>
        <v>9.7199999999999847</v>
      </c>
      <c r="B147" s="743"/>
      <c r="C147" s="751">
        <f>SUM(M147:O147)</f>
        <v>0</v>
      </c>
      <c r="D147" s="751">
        <f t="shared" si="19"/>
        <v>0</v>
      </c>
      <c r="E147" s="751"/>
      <c r="F147" s="751"/>
      <c r="G147" s="751">
        <f t="shared" si="17"/>
        <v>0</v>
      </c>
      <c r="H147" s="751"/>
      <c r="I147" s="751">
        <f t="shared" si="18"/>
        <v>0</v>
      </c>
      <c r="J147" s="751">
        <f t="shared" si="18"/>
        <v>0</v>
      </c>
      <c r="K147" s="751">
        <f t="shared" si="18"/>
        <v>0</v>
      </c>
      <c r="L147" s="751"/>
      <c r="M147" s="743"/>
      <c r="N147" s="743"/>
      <c r="O147" s="743"/>
      <c r="P147" s="751"/>
      <c r="Q147" s="743"/>
      <c r="R147" s="743"/>
      <c r="S147" s="743"/>
    </row>
    <row r="148" spans="1:19" hidden="1">
      <c r="A148" s="765">
        <f t="shared" si="21"/>
        <v>9.7299999999999844</v>
      </c>
      <c r="B148" s="743"/>
      <c r="C148" s="751">
        <f>SUM(M148:O148)</f>
        <v>0</v>
      </c>
      <c r="D148" s="751">
        <f t="shared" si="19"/>
        <v>0</v>
      </c>
      <c r="E148" s="751"/>
      <c r="F148" s="751"/>
      <c r="G148" s="751">
        <f t="shared" si="17"/>
        <v>0</v>
      </c>
      <c r="H148" s="751"/>
      <c r="I148" s="751">
        <f t="shared" si="18"/>
        <v>0</v>
      </c>
      <c r="J148" s="751">
        <f t="shared" si="18"/>
        <v>0</v>
      </c>
      <c r="K148" s="751">
        <f t="shared" si="18"/>
        <v>0</v>
      </c>
      <c r="L148" s="751"/>
      <c r="M148" s="743"/>
      <c r="N148" s="743"/>
      <c r="O148" s="743"/>
      <c r="P148" s="751"/>
      <c r="Q148" s="743"/>
      <c r="R148" s="743"/>
      <c r="S148" s="743"/>
    </row>
    <row r="149" spans="1:19" hidden="1">
      <c r="A149" s="765">
        <f t="shared" si="21"/>
        <v>9.7399999999999842</v>
      </c>
      <c r="B149" s="743"/>
      <c r="C149" s="751">
        <f>SUM(M149:O149)</f>
        <v>0</v>
      </c>
      <c r="D149" s="751">
        <f t="shared" si="19"/>
        <v>0</v>
      </c>
      <c r="E149" s="751"/>
      <c r="F149" s="751"/>
      <c r="G149" s="751">
        <f t="shared" si="17"/>
        <v>0</v>
      </c>
      <c r="H149" s="751"/>
      <c r="I149" s="751">
        <f t="shared" si="18"/>
        <v>0</v>
      </c>
      <c r="J149" s="751">
        <f t="shared" si="18"/>
        <v>0</v>
      </c>
      <c r="K149" s="751">
        <f t="shared" si="18"/>
        <v>0</v>
      </c>
      <c r="L149" s="751"/>
      <c r="M149" s="743"/>
      <c r="N149" s="743"/>
      <c r="O149" s="743"/>
      <c r="P149" s="751"/>
      <c r="Q149" s="743"/>
      <c r="R149" s="743"/>
      <c r="S149" s="743"/>
    </row>
    <row r="150" spans="1:19" hidden="1">
      <c r="A150" s="765">
        <f t="shared" si="21"/>
        <v>9.749999999999984</v>
      </c>
      <c r="B150" s="743"/>
      <c r="C150" s="751">
        <f>SUM(M150:O150)</f>
        <v>0</v>
      </c>
      <c r="D150" s="751">
        <f t="shared" si="19"/>
        <v>0</v>
      </c>
      <c r="E150" s="751"/>
      <c r="F150" s="751"/>
      <c r="G150" s="751">
        <f t="shared" si="17"/>
        <v>0</v>
      </c>
      <c r="H150" s="751"/>
      <c r="I150" s="751">
        <f t="shared" si="18"/>
        <v>0</v>
      </c>
      <c r="J150" s="751">
        <f t="shared" si="18"/>
        <v>0</v>
      </c>
      <c r="K150" s="751">
        <f t="shared" si="18"/>
        <v>0</v>
      </c>
      <c r="L150" s="751"/>
      <c r="M150" s="743"/>
      <c r="N150" s="743"/>
      <c r="O150" s="743"/>
      <c r="P150" s="751"/>
      <c r="Q150" s="743"/>
      <c r="R150" s="743"/>
      <c r="S150" s="743"/>
    </row>
    <row r="151" spans="1:19" hidden="1">
      <c r="A151" s="765">
        <f t="shared" si="21"/>
        <v>9.7599999999999838</v>
      </c>
      <c r="B151" s="743"/>
      <c r="C151" s="751">
        <f t="shared" si="20"/>
        <v>0</v>
      </c>
      <c r="D151" s="751">
        <f t="shared" si="19"/>
        <v>0</v>
      </c>
      <c r="E151" s="751"/>
      <c r="F151" s="751"/>
      <c r="G151" s="751">
        <f t="shared" si="17"/>
        <v>0</v>
      </c>
      <c r="H151" s="751"/>
      <c r="I151" s="751">
        <f t="shared" si="18"/>
        <v>0</v>
      </c>
      <c r="J151" s="751">
        <f t="shared" si="18"/>
        <v>0</v>
      </c>
      <c r="K151" s="751">
        <f t="shared" si="18"/>
        <v>0</v>
      </c>
      <c r="L151" s="751"/>
      <c r="M151" s="743"/>
      <c r="N151" s="743"/>
      <c r="O151" s="743"/>
      <c r="P151" s="751"/>
      <c r="Q151" s="743"/>
      <c r="R151" s="743"/>
      <c r="S151" s="743"/>
    </row>
    <row r="152" spans="1:19" hidden="1">
      <c r="A152" s="765">
        <f t="shared" si="21"/>
        <v>9.7699999999999836</v>
      </c>
      <c r="B152" s="743"/>
      <c r="C152" s="751">
        <f t="shared" si="20"/>
        <v>0</v>
      </c>
      <c r="D152" s="751">
        <f t="shared" si="19"/>
        <v>0</v>
      </c>
      <c r="E152" s="751"/>
      <c r="F152" s="751"/>
      <c r="G152" s="751">
        <f t="shared" si="17"/>
        <v>0</v>
      </c>
      <c r="H152" s="751"/>
      <c r="I152" s="751">
        <f t="shared" si="18"/>
        <v>0</v>
      </c>
      <c r="J152" s="751">
        <f t="shared" si="18"/>
        <v>0</v>
      </c>
      <c r="K152" s="751">
        <f t="shared" si="18"/>
        <v>0</v>
      </c>
      <c r="L152" s="751"/>
      <c r="M152" s="743"/>
      <c r="N152" s="743"/>
      <c r="O152" s="743"/>
      <c r="P152" s="751"/>
      <c r="Q152" s="743"/>
      <c r="R152" s="743"/>
      <c r="S152" s="743"/>
    </row>
    <row r="153" spans="1:19" hidden="1">
      <c r="A153" s="765">
        <f t="shared" si="21"/>
        <v>9.7799999999999834</v>
      </c>
      <c r="B153" s="743"/>
      <c r="C153" s="751">
        <f t="shared" si="20"/>
        <v>0</v>
      </c>
      <c r="D153" s="751">
        <f t="shared" si="19"/>
        <v>0</v>
      </c>
      <c r="E153" s="751"/>
      <c r="F153" s="751"/>
      <c r="G153" s="751">
        <f t="shared" si="17"/>
        <v>0</v>
      </c>
      <c r="H153" s="751"/>
      <c r="I153" s="751">
        <f t="shared" si="18"/>
        <v>0</v>
      </c>
      <c r="J153" s="751">
        <f t="shared" si="18"/>
        <v>0</v>
      </c>
      <c r="K153" s="751">
        <f t="shared" si="18"/>
        <v>0</v>
      </c>
      <c r="L153" s="751"/>
      <c r="M153" s="743"/>
      <c r="N153" s="743"/>
      <c r="O153" s="743"/>
      <c r="P153" s="751"/>
      <c r="Q153" s="743"/>
      <c r="R153" s="743"/>
      <c r="S153" s="743"/>
    </row>
    <row r="154" spans="1:19" hidden="1">
      <c r="A154" s="765">
        <f t="shared" si="21"/>
        <v>9.7899999999999832</v>
      </c>
      <c r="B154" s="743"/>
      <c r="C154" s="751">
        <f t="shared" si="20"/>
        <v>0</v>
      </c>
      <c r="D154" s="751">
        <f t="shared" si="19"/>
        <v>0</v>
      </c>
      <c r="E154" s="751"/>
      <c r="F154" s="751"/>
      <c r="G154" s="751">
        <f t="shared" si="17"/>
        <v>0</v>
      </c>
      <c r="H154" s="751"/>
      <c r="I154" s="751">
        <f t="shared" si="18"/>
        <v>0</v>
      </c>
      <c r="J154" s="751">
        <f t="shared" si="18"/>
        <v>0</v>
      </c>
      <c r="K154" s="751">
        <f t="shared" si="18"/>
        <v>0</v>
      </c>
      <c r="L154" s="751"/>
      <c r="M154" s="743"/>
      <c r="N154" s="743"/>
      <c r="O154" s="743"/>
      <c r="P154" s="751"/>
      <c r="Q154" s="743"/>
      <c r="R154" s="743"/>
      <c r="S154" s="743"/>
    </row>
    <row r="155" spans="1:19" hidden="1">
      <c r="A155" s="765">
        <f t="shared" si="21"/>
        <v>9.7999999999999829</v>
      </c>
      <c r="B155" s="743"/>
      <c r="C155" s="751">
        <f t="shared" si="20"/>
        <v>0</v>
      </c>
      <c r="D155" s="751">
        <f t="shared" si="19"/>
        <v>0</v>
      </c>
      <c r="E155" s="751"/>
      <c r="F155" s="751"/>
      <c r="G155" s="751">
        <f t="shared" si="17"/>
        <v>0</v>
      </c>
      <c r="H155" s="751"/>
      <c r="I155" s="751">
        <f t="shared" si="18"/>
        <v>0</v>
      </c>
      <c r="J155" s="751">
        <f t="shared" si="18"/>
        <v>0</v>
      </c>
      <c r="K155" s="751">
        <f t="shared" si="18"/>
        <v>0</v>
      </c>
      <c r="L155" s="751"/>
      <c r="M155" s="743"/>
      <c r="N155" s="743"/>
      <c r="O155" s="743"/>
      <c r="P155" s="751"/>
      <c r="Q155" s="743"/>
      <c r="R155" s="743"/>
      <c r="S155" s="743"/>
    </row>
    <row r="156" spans="1:19" hidden="1">
      <c r="A156" s="765">
        <f t="shared" si="21"/>
        <v>9.8099999999999827</v>
      </c>
      <c r="B156" s="743"/>
      <c r="C156" s="751">
        <f t="shared" si="20"/>
        <v>0</v>
      </c>
      <c r="D156" s="751">
        <f t="shared" si="19"/>
        <v>0</v>
      </c>
      <c r="E156" s="751"/>
      <c r="F156" s="751"/>
      <c r="G156" s="751">
        <f t="shared" si="17"/>
        <v>0</v>
      </c>
      <c r="H156" s="751"/>
      <c r="I156" s="751">
        <f t="shared" si="18"/>
        <v>0</v>
      </c>
      <c r="J156" s="751">
        <f t="shared" si="18"/>
        <v>0</v>
      </c>
      <c r="K156" s="751">
        <f t="shared" si="18"/>
        <v>0</v>
      </c>
      <c r="L156" s="751"/>
      <c r="M156" s="743"/>
      <c r="N156" s="743"/>
      <c r="O156" s="743"/>
      <c r="P156" s="751"/>
      <c r="Q156" s="743"/>
      <c r="R156" s="743"/>
      <c r="S156" s="743"/>
    </row>
    <row r="157" spans="1:19" hidden="1">
      <c r="A157" s="765">
        <f t="shared" si="21"/>
        <v>9.8199999999999825</v>
      </c>
      <c r="B157" s="743"/>
      <c r="C157" s="751">
        <f t="shared" si="20"/>
        <v>0</v>
      </c>
      <c r="D157" s="751">
        <f t="shared" si="19"/>
        <v>0</v>
      </c>
      <c r="E157" s="751"/>
      <c r="F157" s="751"/>
      <c r="G157" s="751">
        <f t="shared" si="17"/>
        <v>0</v>
      </c>
      <c r="H157" s="751"/>
      <c r="I157" s="751">
        <f t="shared" si="18"/>
        <v>0</v>
      </c>
      <c r="J157" s="751">
        <f t="shared" si="18"/>
        <v>0</v>
      </c>
      <c r="K157" s="751">
        <f t="shared" si="18"/>
        <v>0</v>
      </c>
      <c r="L157" s="751"/>
      <c r="M157" s="743"/>
      <c r="N157" s="743"/>
      <c r="O157" s="743"/>
      <c r="P157" s="751"/>
      <c r="Q157" s="743"/>
      <c r="R157" s="743"/>
      <c r="S157" s="743"/>
    </row>
    <row r="158" spans="1:19" hidden="1">
      <c r="A158" s="765">
        <f t="shared" si="21"/>
        <v>9.8299999999999823</v>
      </c>
      <c r="B158" s="743"/>
      <c r="C158" s="751">
        <f>SUM(M158:O158)</f>
        <v>0</v>
      </c>
      <c r="D158" s="751">
        <f t="shared" si="19"/>
        <v>0</v>
      </c>
      <c r="E158" s="751"/>
      <c r="F158" s="751"/>
      <c r="G158" s="751">
        <f t="shared" si="17"/>
        <v>0</v>
      </c>
      <c r="H158" s="751"/>
      <c r="I158" s="751">
        <f t="shared" ref="I158:K168" si="22">(M158+Q158)/2</f>
        <v>0</v>
      </c>
      <c r="J158" s="751">
        <f t="shared" si="22"/>
        <v>0</v>
      </c>
      <c r="K158" s="751">
        <f t="shared" si="22"/>
        <v>0</v>
      </c>
      <c r="L158" s="751"/>
      <c r="M158" s="743"/>
      <c r="N158" s="743"/>
      <c r="O158" s="743"/>
      <c r="P158" s="751"/>
      <c r="Q158" s="743"/>
      <c r="R158" s="743"/>
      <c r="S158" s="743"/>
    </row>
    <row r="159" spans="1:19" hidden="1">
      <c r="A159" s="765">
        <f t="shared" si="21"/>
        <v>9.8399999999999821</v>
      </c>
      <c r="B159" s="743"/>
      <c r="C159" s="751">
        <f>SUM(M159:O159)</f>
        <v>0</v>
      </c>
      <c r="D159" s="751">
        <f t="shared" si="19"/>
        <v>0</v>
      </c>
      <c r="E159" s="751"/>
      <c r="F159" s="751"/>
      <c r="G159" s="751">
        <f t="shared" si="17"/>
        <v>0</v>
      </c>
      <c r="H159" s="751"/>
      <c r="I159" s="751">
        <f t="shared" si="22"/>
        <v>0</v>
      </c>
      <c r="J159" s="751">
        <f t="shared" si="22"/>
        <v>0</v>
      </c>
      <c r="K159" s="751">
        <f t="shared" si="22"/>
        <v>0</v>
      </c>
      <c r="L159" s="751"/>
      <c r="M159" s="743"/>
      <c r="N159" s="743"/>
      <c r="O159" s="743"/>
      <c r="P159" s="751"/>
      <c r="Q159" s="743"/>
      <c r="R159" s="743"/>
      <c r="S159" s="743"/>
    </row>
    <row r="160" spans="1:19" hidden="1">
      <c r="A160" s="765">
        <f t="shared" si="21"/>
        <v>9.8499999999999819</v>
      </c>
      <c r="B160" s="743"/>
      <c r="C160" s="751">
        <f>SUM(M160:O160)</f>
        <v>0</v>
      </c>
      <c r="D160" s="751">
        <f t="shared" si="19"/>
        <v>0</v>
      </c>
      <c r="E160" s="751"/>
      <c r="F160" s="751"/>
      <c r="G160" s="751">
        <f t="shared" si="17"/>
        <v>0</v>
      </c>
      <c r="H160" s="751"/>
      <c r="I160" s="751">
        <f t="shared" si="22"/>
        <v>0</v>
      </c>
      <c r="J160" s="751">
        <f t="shared" si="22"/>
        <v>0</v>
      </c>
      <c r="K160" s="751">
        <f t="shared" si="22"/>
        <v>0</v>
      </c>
      <c r="L160" s="751"/>
      <c r="M160" s="743"/>
      <c r="N160" s="743"/>
      <c r="O160" s="743"/>
      <c r="P160" s="751"/>
      <c r="Q160" s="743"/>
      <c r="R160" s="743"/>
      <c r="S160" s="743"/>
    </row>
    <row r="161" spans="1:19" hidden="1">
      <c r="A161" s="765">
        <f t="shared" si="21"/>
        <v>9.8599999999999817</v>
      </c>
      <c r="B161" s="743"/>
      <c r="C161" s="751">
        <f>SUM(M161:O161)</f>
        <v>0</v>
      </c>
      <c r="D161" s="751">
        <f t="shared" si="19"/>
        <v>0</v>
      </c>
      <c r="E161" s="751"/>
      <c r="F161" s="751"/>
      <c r="G161" s="751">
        <f t="shared" si="17"/>
        <v>0</v>
      </c>
      <c r="H161" s="751"/>
      <c r="I161" s="751">
        <f t="shared" si="22"/>
        <v>0</v>
      </c>
      <c r="J161" s="751">
        <f t="shared" si="22"/>
        <v>0</v>
      </c>
      <c r="K161" s="751">
        <f t="shared" si="22"/>
        <v>0</v>
      </c>
      <c r="L161" s="751"/>
      <c r="M161" s="743"/>
      <c r="N161" s="743"/>
      <c r="O161" s="743"/>
      <c r="P161" s="751"/>
      <c r="Q161" s="743"/>
      <c r="R161" s="743"/>
      <c r="S161" s="743"/>
    </row>
    <row r="162" spans="1:19" hidden="1">
      <c r="A162" s="765">
        <f t="shared" si="21"/>
        <v>9.8699999999999815</v>
      </c>
      <c r="B162" s="743"/>
      <c r="C162" s="751">
        <f t="shared" si="20"/>
        <v>0</v>
      </c>
      <c r="D162" s="751">
        <f t="shared" si="19"/>
        <v>0</v>
      </c>
      <c r="E162" s="751"/>
      <c r="F162" s="751"/>
      <c r="G162" s="751">
        <f t="shared" si="17"/>
        <v>0</v>
      </c>
      <c r="H162" s="751"/>
      <c r="I162" s="751">
        <f t="shared" si="22"/>
        <v>0</v>
      </c>
      <c r="J162" s="751">
        <f t="shared" si="22"/>
        <v>0</v>
      </c>
      <c r="K162" s="751">
        <f t="shared" si="22"/>
        <v>0</v>
      </c>
      <c r="L162" s="751"/>
      <c r="M162" s="743"/>
      <c r="N162" s="743"/>
      <c r="O162" s="743"/>
      <c r="P162" s="751"/>
      <c r="Q162" s="743"/>
      <c r="R162" s="743"/>
      <c r="S162" s="743"/>
    </row>
    <row r="163" spans="1:19" hidden="1">
      <c r="A163" s="765">
        <f t="shared" si="21"/>
        <v>9.8799999999999812</v>
      </c>
      <c r="B163" s="743"/>
      <c r="C163" s="751">
        <f t="shared" si="20"/>
        <v>0</v>
      </c>
      <c r="D163" s="751">
        <f t="shared" si="19"/>
        <v>0</v>
      </c>
      <c r="E163" s="751"/>
      <c r="F163" s="751"/>
      <c r="G163" s="751">
        <f t="shared" si="17"/>
        <v>0</v>
      </c>
      <c r="H163" s="751"/>
      <c r="I163" s="751">
        <f t="shared" si="22"/>
        <v>0</v>
      </c>
      <c r="J163" s="751">
        <f t="shared" si="22"/>
        <v>0</v>
      </c>
      <c r="K163" s="751">
        <f t="shared" si="22"/>
        <v>0</v>
      </c>
      <c r="L163" s="751"/>
      <c r="M163" s="743"/>
      <c r="N163" s="743"/>
      <c r="O163" s="743"/>
      <c r="P163" s="751"/>
      <c r="Q163" s="743"/>
      <c r="R163" s="743"/>
      <c r="S163" s="743"/>
    </row>
    <row r="164" spans="1:19" hidden="1">
      <c r="A164" s="765">
        <f t="shared" si="21"/>
        <v>9.889999999999981</v>
      </c>
      <c r="B164" s="743"/>
      <c r="C164" s="751">
        <f t="shared" si="20"/>
        <v>0</v>
      </c>
      <c r="D164" s="751">
        <f t="shared" si="19"/>
        <v>0</v>
      </c>
      <c r="E164" s="751"/>
      <c r="F164" s="751"/>
      <c r="G164" s="751">
        <f t="shared" si="17"/>
        <v>0</v>
      </c>
      <c r="H164" s="751"/>
      <c r="I164" s="751">
        <f t="shared" si="22"/>
        <v>0</v>
      </c>
      <c r="J164" s="751">
        <f t="shared" si="22"/>
        <v>0</v>
      </c>
      <c r="K164" s="751">
        <f t="shared" si="22"/>
        <v>0</v>
      </c>
      <c r="L164" s="751"/>
      <c r="M164" s="743"/>
      <c r="N164" s="743"/>
      <c r="O164" s="743"/>
      <c r="P164" s="751"/>
      <c r="Q164" s="743"/>
      <c r="R164" s="743"/>
      <c r="S164" s="743"/>
    </row>
    <row r="165" spans="1:19" hidden="1">
      <c r="A165" s="765">
        <f t="shared" si="21"/>
        <v>9.8999999999999808</v>
      </c>
      <c r="B165" s="743"/>
      <c r="C165" s="751">
        <f t="shared" si="20"/>
        <v>0</v>
      </c>
      <c r="D165" s="751">
        <f t="shared" si="19"/>
        <v>0</v>
      </c>
      <c r="E165" s="751"/>
      <c r="F165" s="751"/>
      <c r="G165" s="751">
        <f t="shared" si="17"/>
        <v>0</v>
      </c>
      <c r="H165" s="751"/>
      <c r="I165" s="751">
        <f t="shared" si="22"/>
        <v>0</v>
      </c>
      <c r="J165" s="751">
        <f t="shared" si="22"/>
        <v>0</v>
      </c>
      <c r="K165" s="751">
        <f t="shared" si="22"/>
        <v>0</v>
      </c>
      <c r="L165" s="751"/>
      <c r="M165" s="743"/>
      <c r="N165" s="743"/>
      <c r="O165" s="743"/>
      <c r="P165" s="751"/>
      <c r="Q165" s="743"/>
      <c r="R165" s="743"/>
      <c r="S165" s="743"/>
    </row>
    <row r="166" spans="1:19" hidden="1">
      <c r="A166" s="765">
        <f t="shared" si="21"/>
        <v>9.9099999999999806</v>
      </c>
      <c r="B166" s="743"/>
      <c r="C166" s="751">
        <f t="shared" si="20"/>
        <v>0</v>
      </c>
      <c r="D166" s="751">
        <f t="shared" si="19"/>
        <v>0</v>
      </c>
      <c r="E166" s="751"/>
      <c r="F166" s="751"/>
      <c r="G166" s="751">
        <f>ROUND(SUM(C166:F166)/2,0)</f>
        <v>0</v>
      </c>
      <c r="H166" s="751"/>
      <c r="I166" s="751">
        <f t="shared" si="22"/>
        <v>0</v>
      </c>
      <c r="J166" s="751">
        <f t="shared" si="22"/>
        <v>0</v>
      </c>
      <c r="K166" s="751">
        <f t="shared" si="22"/>
        <v>0</v>
      </c>
      <c r="L166" s="751"/>
      <c r="M166" s="743"/>
      <c r="N166" s="743"/>
      <c r="O166" s="743"/>
      <c r="P166" s="751"/>
      <c r="Q166" s="743"/>
      <c r="R166" s="743"/>
      <c r="S166" s="743"/>
    </row>
    <row r="167" spans="1:19" hidden="1">
      <c r="A167" s="765">
        <f t="shared" si="21"/>
        <v>9.9199999999999804</v>
      </c>
      <c r="B167" s="743"/>
      <c r="C167" s="751">
        <f t="shared" si="20"/>
        <v>0</v>
      </c>
      <c r="D167" s="751">
        <f t="shared" si="19"/>
        <v>0</v>
      </c>
      <c r="E167" s="751"/>
      <c r="F167" s="751"/>
      <c r="G167" s="751">
        <f t="shared" si="17"/>
        <v>0</v>
      </c>
      <c r="H167" s="751"/>
      <c r="I167" s="751">
        <f t="shared" si="22"/>
        <v>0</v>
      </c>
      <c r="J167" s="751">
        <f t="shared" si="22"/>
        <v>0</v>
      </c>
      <c r="K167" s="751">
        <f t="shared" si="22"/>
        <v>0</v>
      </c>
      <c r="L167" s="751"/>
      <c r="M167" s="743"/>
      <c r="N167" s="743"/>
      <c r="O167" s="743"/>
      <c r="P167" s="751"/>
      <c r="Q167" s="743"/>
      <c r="R167" s="743"/>
      <c r="S167" s="743"/>
    </row>
    <row r="168" spans="1:19" hidden="1">
      <c r="A168" s="765">
        <f t="shared" si="21"/>
        <v>9.9299999999999802</v>
      </c>
      <c r="B168" s="743"/>
      <c r="C168" s="751">
        <f t="shared" si="20"/>
        <v>0</v>
      </c>
      <c r="D168" s="751">
        <f t="shared" si="19"/>
        <v>0</v>
      </c>
      <c r="E168" s="751"/>
      <c r="F168" s="751"/>
      <c r="G168" s="751">
        <f t="shared" si="17"/>
        <v>0</v>
      </c>
      <c r="H168" s="751"/>
      <c r="I168" s="751">
        <f t="shared" si="22"/>
        <v>0</v>
      </c>
      <c r="J168" s="751">
        <f t="shared" si="22"/>
        <v>0</v>
      </c>
      <c r="K168" s="751">
        <f t="shared" si="22"/>
        <v>0</v>
      </c>
      <c r="L168" s="751"/>
      <c r="M168" s="743"/>
      <c r="N168" s="743"/>
      <c r="O168" s="743"/>
      <c r="P168" s="751"/>
      <c r="Q168" s="743"/>
      <c r="R168" s="743"/>
      <c r="S168" s="743"/>
    </row>
    <row r="169" spans="1:19">
      <c r="A169" s="765">
        <f t="shared" si="21"/>
        <v>9.93999999999998</v>
      </c>
      <c r="B169" s="743"/>
      <c r="C169" s="743"/>
      <c r="D169" s="743"/>
      <c r="E169" s="751">
        <f t="shared" ref="E169:F174" si="23">-C169</f>
        <v>0</v>
      </c>
      <c r="F169" s="751">
        <f t="shared" si="23"/>
        <v>0</v>
      </c>
      <c r="G169" s="751">
        <f t="shared" si="17"/>
        <v>0</v>
      </c>
      <c r="H169" s="751"/>
      <c r="I169" s="751"/>
      <c r="J169" s="751"/>
      <c r="K169" s="751"/>
      <c r="L169" s="751"/>
      <c r="M169" s="751"/>
      <c r="N169" s="751"/>
      <c r="O169" s="751"/>
      <c r="P169" s="751"/>
      <c r="Q169" s="751"/>
      <c r="R169" s="751"/>
      <c r="S169" s="751"/>
    </row>
    <row r="170" spans="1:19">
      <c r="A170" s="765">
        <f t="shared" si="21"/>
        <v>9.9499999999999797</v>
      </c>
      <c r="B170" s="743"/>
      <c r="C170" s="743"/>
      <c r="D170" s="743"/>
      <c r="E170" s="751">
        <f t="shared" si="23"/>
        <v>0</v>
      </c>
      <c r="F170" s="751">
        <f t="shared" si="23"/>
        <v>0</v>
      </c>
      <c r="G170" s="751">
        <f t="shared" si="17"/>
        <v>0</v>
      </c>
      <c r="H170" s="751"/>
      <c r="I170" s="751"/>
      <c r="J170" s="751"/>
      <c r="K170" s="751"/>
      <c r="L170" s="751"/>
      <c r="M170" s="751"/>
      <c r="N170" s="751"/>
      <c r="O170" s="751"/>
      <c r="P170" s="751"/>
      <c r="Q170" s="751"/>
      <c r="R170" s="751"/>
      <c r="S170" s="751"/>
    </row>
    <row r="171" spans="1:19">
      <c r="A171" s="765">
        <f t="shared" si="21"/>
        <v>9.9599999999999795</v>
      </c>
      <c r="B171" s="743"/>
      <c r="C171" s="743"/>
      <c r="D171" s="743"/>
      <c r="E171" s="751">
        <f t="shared" si="23"/>
        <v>0</v>
      </c>
      <c r="F171" s="751">
        <f t="shared" si="23"/>
        <v>0</v>
      </c>
      <c r="G171" s="751">
        <f t="shared" si="17"/>
        <v>0</v>
      </c>
      <c r="H171" s="751"/>
      <c r="I171" s="751"/>
      <c r="J171" s="751"/>
      <c r="K171" s="751"/>
      <c r="L171" s="751"/>
      <c r="M171" s="751"/>
      <c r="N171" s="751"/>
      <c r="O171" s="751"/>
      <c r="P171" s="751"/>
      <c r="Q171" s="751"/>
      <c r="R171" s="751"/>
      <c r="S171" s="751"/>
    </row>
    <row r="172" spans="1:19">
      <c r="A172" s="765">
        <f t="shared" si="21"/>
        <v>9.9699999999999793</v>
      </c>
      <c r="B172" s="743"/>
      <c r="C172" s="743"/>
      <c r="D172" s="743"/>
      <c r="E172" s="751">
        <f>-C172</f>
        <v>0</v>
      </c>
      <c r="F172" s="751">
        <f>-D172</f>
        <v>0</v>
      </c>
      <c r="G172" s="751">
        <f t="shared" si="17"/>
        <v>0</v>
      </c>
      <c r="H172" s="751"/>
      <c r="I172" s="751"/>
      <c r="J172" s="751"/>
      <c r="K172" s="751"/>
      <c r="L172" s="751"/>
      <c r="M172" s="751"/>
      <c r="N172" s="751"/>
      <c r="O172" s="751"/>
      <c r="P172" s="751"/>
      <c r="Q172" s="751"/>
      <c r="R172" s="751"/>
      <c r="S172" s="751"/>
    </row>
    <row r="173" spans="1:19">
      <c r="A173" s="765">
        <f t="shared" si="21"/>
        <v>9.9799999999999791</v>
      </c>
      <c r="B173" s="743"/>
      <c r="C173" s="743"/>
      <c r="D173" s="743"/>
      <c r="E173" s="751">
        <f>-C173</f>
        <v>0</v>
      </c>
      <c r="F173" s="751">
        <f>-D173</f>
        <v>0</v>
      </c>
      <c r="G173" s="751">
        <f t="shared" si="17"/>
        <v>0</v>
      </c>
      <c r="H173" s="751"/>
      <c r="I173" s="751"/>
      <c r="J173" s="751"/>
      <c r="K173" s="751"/>
      <c r="L173" s="751"/>
      <c r="M173" s="751"/>
      <c r="N173" s="751"/>
      <c r="O173" s="751"/>
      <c r="P173" s="751"/>
      <c r="Q173" s="751"/>
      <c r="R173" s="751"/>
      <c r="S173" s="751"/>
    </row>
    <row r="174" spans="1:19">
      <c r="A174" s="765">
        <f t="shared" si="21"/>
        <v>9.9899999999999789</v>
      </c>
      <c r="B174" s="743"/>
      <c r="C174" s="743"/>
      <c r="D174" s="743"/>
      <c r="E174" s="751">
        <f t="shared" si="23"/>
        <v>0</v>
      </c>
      <c r="F174" s="751">
        <f t="shared" si="23"/>
        <v>0</v>
      </c>
      <c r="G174" s="751">
        <f t="shared" si="17"/>
        <v>0</v>
      </c>
      <c r="H174" s="751"/>
      <c r="I174" s="751"/>
      <c r="J174" s="751"/>
      <c r="K174" s="751"/>
      <c r="L174" s="751"/>
      <c r="M174" s="751"/>
      <c r="N174" s="751"/>
      <c r="O174" s="751"/>
      <c r="P174" s="751"/>
      <c r="Q174" s="751"/>
      <c r="R174" s="751"/>
      <c r="S174" s="751"/>
    </row>
    <row r="175" spans="1:19">
      <c r="A175" s="758"/>
      <c r="B175" s="745"/>
      <c r="C175" s="751"/>
      <c r="D175" s="751"/>
      <c r="E175" s="751"/>
      <c r="F175" s="751"/>
      <c r="G175" s="751"/>
      <c r="H175" s="751"/>
      <c r="I175" s="751"/>
      <c r="J175" s="751"/>
      <c r="K175" s="751"/>
      <c r="L175" s="751"/>
      <c r="M175" s="751"/>
      <c r="N175" s="751"/>
      <c r="O175" s="751"/>
      <c r="P175" s="751"/>
      <c r="Q175" s="751"/>
      <c r="R175" s="751"/>
      <c r="S175" s="751"/>
    </row>
    <row r="176" spans="1:19">
      <c r="A176" s="758"/>
      <c r="B176" s="745"/>
      <c r="C176" s="751"/>
      <c r="D176" s="751"/>
      <c r="E176" s="751"/>
      <c r="F176" s="751"/>
      <c r="G176" s="751"/>
      <c r="H176" s="751"/>
      <c r="I176" s="751"/>
      <c r="J176" s="751"/>
      <c r="K176" s="751"/>
      <c r="L176" s="751"/>
      <c r="M176" s="751"/>
      <c r="N176" s="751"/>
      <c r="O176" s="751"/>
      <c r="P176" s="751"/>
      <c r="Q176" s="751"/>
      <c r="R176" s="751"/>
      <c r="S176" s="751"/>
    </row>
    <row r="177" spans="1:19" ht="13.5" thickBot="1">
      <c r="A177" s="758">
        <v>10</v>
      </c>
      <c r="C177" s="753">
        <f>SUM(C76:C176)</f>
        <v>0</v>
      </c>
      <c r="D177" s="753">
        <f>SUM(D76:D176)</f>
        <v>0</v>
      </c>
      <c r="E177" s="753">
        <f>SUM(E76:E176)</f>
        <v>0</v>
      </c>
      <c r="F177" s="753">
        <f>SUM(F76:F176)</f>
        <v>0</v>
      </c>
      <c r="G177" s="753">
        <f>SUM(G76:G176)</f>
        <v>0</v>
      </c>
      <c r="H177" s="751"/>
      <c r="I177" s="753">
        <f>SUM(I76:I176)</f>
        <v>0</v>
      </c>
      <c r="J177" s="753">
        <f>SUM(J76:J176)</f>
        <v>0</v>
      </c>
      <c r="K177" s="753">
        <f>SUM(K76:K176)</f>
        <v>0</v>
      </c>
      <c r="L177" s="751"/>
      <c r="M177" s="753">
        <f>SUM(M76:M176)</f>
        <v>0</v>
      </c>
      <c r="N177" s="753">
        <f>SUM(N76:N176)</f>
        <v>0</v>
      </c>
      <c r="O177" s="753">
        <f>SUM(O76:O176)</f>
        <v>0</v>
      </c>
      <c r="P177" s="751"/>
      <c r="Q177" s="753">
        <f>SUM(Q76:Q176)</f>
        <v>0</v>
      </c>
      <c r="R177" s="753">
        <f>SUM(R76:R176)</f>
        <v>0</v>
      </c>
      <c r="S177" s="753">
        <f>SUM(S76:S176)</f>
        <v>0</v>
      </c>
    </row>
    <row r="178" spans="1:19" ht="13.5" thickTop="1">
      <c r="A178" s="758"/>
      <c r="B178" s="745"/>
      <c r="C178" s="754"/>
      <c r="D178" s="754"/>
      <c r="E178" s="754"/>
      <c r="F178" s="754"/>
      <c r="G178" s="754"/>
      <c r="H178" s="751"/>
      <c r="I178" s="754"/>
      <c r="J178" s="754"/>
      <c r="K178" s="754"/>
      <c r="L178" s="751"/>
      <c r="M178" s="754"/>
      <c r="N178" s="754"/>
      <c r="O178" s="754"/>
      <c r="P178" s="751"/>
      <c r="Q178" s="754"/>
      <c r="R178" s="754"/>
      <c r="S178" s="754"/>
    </row>
    <row r="179" spans="1:19">
      <c r="A179" s="758"/>
      <c r="B179" s="745"/>
      <c r="C179" s="751"/>
      <c r="D179" s="751"/>
      <c r="E179" s="751"/>
      <c r="F179" s="751"/>
      <c r="G179" s="751"/>
      <c r="H179" s="751"/>
      <c r="I179" s="751"/>
      <c r="J179" s="751"/>
      <c r="K179" s="751"/>
      <c r="L179" s="751"/>
      <c r="M179" s="751"/>
      <c r="N179" s="751"/>
      <c r="O179" s="751"/>
      <c r="P179" s="751"/>
      <c r="Q179" s="751"/>
      <c r="R179" s="751"/>
      <c r="S179" s="751"/>
    </row>
    <row r="180" spans="1:19">
      <c r="A180" s="758">
        <f>+A177+1</f>
        <v>11</v>
      </c>
      <c r="B180" s="741" t="s">
        <v>673</v>
      </c>
      <c r="C180" s="751">
        <f>SUM(M180:O180)</f>
        <v>0</v>
      </c>
      <c r="D180" s="751">
        <f>SUM(Q180:S180)</f>
        <v>0</v>
      </c>
      <c r="E180" s="751"/>
      <c r="F180" s="751"/>
      <c r="G180" s="751">
        <f>ROUND(SUM(C180:F180)/2,0)</f>
        <v>0</v>
      </c>
      <c r="H180" s="751"/>
      <c r="I180" s="751">
        <f>(M180+Q180)/2</f>
        <v>0</v>
      </c>
      <c r="J180" s="751">
        <f>(N180+R180)/2</f>
        <v>0</v>
      </c>
      <c r="K180" s="751">
        <f>(O180+S180)/2</f>
        <v>0</v>
      </c>
      <c r="L180" s="751"/>
      <c r="M180" s="743"/>
      <c r="N180" s="743"/>
      <c r="O180" s="743"/>
      <c r="P180" s="751"/>
      <c r="Q180" s="743"/>
      <c r="R180" s="743"/>
      <c r="S180" s="743"/>
    </row>
    <row r="181" spans="1:19">
      <c r="A181" s="774">
        <f>A180+0.01</f>
        <v>11.01</v>
      </c>
      <c r="B181" s="743"/>
      <c r="C181" s="743"/>
      <c r="D181" s="743"/>
      <c r="E181" s="751">
        <f>-C181</f>
        <v>0</v>
      </c>
      <c r="F181" s="751">
        <f>-D181</f>
        <v>0</v>
      </c>
      <c r="G181" s="751">
        <f>ROUND(SUM(C181:F181)/2,0)</f>
        <v>0</v>
      </c>
      <c r="H181" s="751"/>
      <c r="I181" s="751"/>
      <c r="J181" s="751"/>
      <c r="K181" s="751"/>
      <c r="L181" s="751"/>
      <c r="M181" s="751"/>
      <c r="N181" s="751"/>
      <c r="O181" s="751"/>
      <c r="P181" s="751"/>
      <c r="Q181" s="751"/>
      <c r="R181" s="751"/>
      <c r="S181" s="751"/>
    </row>
    <row r="182" spans="1:19">
      <c r="A182" s="758"/>
      <c r="B182" s="745"/>
      <c r="C182" s="751"/>
      <c r="D182" s="751"/>
      <c r="E182" s="751"/>
      <c r="F182" s="751"/>
      <c r="G182" s="751"/>
      <c r="H182" s="751"/>
      <c r="I182" s="751"/>
      <c r="J182" s="751"/>
      <c r="K182" s="751"/>
      <c r="L182" s="751"/>
      <c r="M182" s="751"/>
      <c r="N182" s="751"/>
      <c r="O182" s="751"/>
      <c r="P182" s="751"/>
      <c r="Q182" s="751"/>
      <c r="R182" s="751"/>
      <c r="S182" s="751"/>
    </row>
    <row r="183" spans="1:19" ht="13.5" thickBot="1">
      <c r="A183" s="758">
        <f>+A180+1</f>
        <v>12</v>
      </c>
      <c r="B183" s="741" t="s">
        <v>674</v>
      </c>
      <c r="C183" s="753">
        <f>SUM(C177:C182)</f>
        <v>0</v>
      </c>
      <c r="D183" s="753">
        <f>SUM(D177:D182)</f>
        <v>0</v>
      </c>
      <c r="E183" s="753">
        <f>SUM(E177:E182)</f>
        <v>0</v>
      </c>
      <c r="F183" s="753">
        <f>SUM(F177:F182)</f>
        <v>0</v>
      </c>
      <c r="G183" s="753">
        <f>SUM(G177:G182)</f>
        <v>0</v>
      </c>
      <c r="H183" s="751"/>
      <c r="I183" s="753">
        <f>SUM(I177:I182)</f>
        <v>0</v>
      </c>
      <c r="J183" s="753">
        <f>SUM(J177:J182)</f>
        <v>0</v>
      </c>
      <c r="K183" s="753">
        <f>SUM(K177:K182)</f>
        <v>0</v>
      </c>
      <c r="L183" s="751"/>
      <c r="M183" s="756">
        <f>SUM(M177:M182)</f>
        <v>0</v>
      </c>
      <c r="N183" s="756">
        <f>SUM(N177:N182)</f>
        <v>0</v>
      </c>
      <c r="O183" s="756">
        <f>SUM(O177:O182)</f>
        <v>0</v>
      </c>
      <c r="P183" s="751"/>
      <c r="Q183" s="753">
        <f>SUM(Q177:Q182)</f>
        <v>0</v>
      </c>
      <c r="R183" s="753">
        <f>SUM(R177:R182)</f>
        <v>0</v>
      </c>
      <c r="S183" s="753">
        <f>SUM(S177:S182)</f>
        <v>0</v>
      </c>
    </row>
    <row r="184" spans="1:19" ht="13.5" thickTop="1">
      <c r="A184" s="758">
        <f>A183+1</f>
        <v>13</v>
      </c>
      <c r="B184" s="745" t="s">
        <v>675</v>
      </c>
      <c r="C184" s="754">
        <f>C106+C139</f>
        <v>0</v>
      </c>
      <c r="D184" s="754">
        <f>D106+D139</f>
        <v>0</v>
      </c>
      <c r="E184" s="754">
        <f>E106+E139</f>
        <v>0</v>
      </c>
      <c r="F184" s="754">
        <f>F106+F139</f>
        <v>0</v>
      </c>
      <c r="G184" s="754">
        <f>G106+G139</f>
        <v>0</v>
      </c>
      <c r="H184" s="751"/>
      <c r="I184" s="754">
        <f>I106+I139</f>
        <v>0</v>
      </c>
      <c r="J184" s="754">
        <f>J106+J139</f>
        <v>0</v>
      </c>
      <c r="K184" s="754">
        <f>K106+K139</f>
        <v>0</v>
      </c>
      <c r="L184" s="751"/>
      <c r="M184" s="754">
        <f>M106+M139</f>
        <v>0</v>
      </c>
      <c r="N184" s="754">
        <f>N106+N139</f>
        <v>0</v>
      </c>
      <c r="O184" s="754">
        <f>O106+O139</f>
        <v>0</v>
      </c>
      <c r="P184" s="751"/>
      <c r="Q184" s="754">
        <f>Q106+Q139</f>
        <v>0</v>
      </c>
      <c r="R184" s="754">
        <f>R106+R139</f>
        <v>0</v>
      </c>
      <c r="S184" s="754">
        <f>S106+S139</f>
        <v>0</v>
      </c>
    </row>
    <row r="185" spans="1:19">
      <c r="A185" s="758"/>
      <c r="B185" s="745"/>
      <c r="C185" s="751"/>
      <c r="D185" s="751"/>
      <c r="E185" s="751"/>
      <c r="F185" s="751"/>
      <c r="G185" s="751"/>
      <c r="H185" s="751"/>
      <c r="I185" s="751"/>
      <c r="J185" s="751"/>
      <c r="K185" s="751"/>
      <c r="L185" s="751"/>
      <c r="M185" s="751"/>
      <c r="N185" s="751"/>
      <c r="O185" s="751"/>
      <c r="P185" s="751"/>
      <c r="Q185" s="751"/>
      <c r="R185" s="751"/>
      <c r="S185" s="751"/>
    </row>
    <row r="186" spans="1:19">
      <c r="A186" s="758">
        <f>+A184+1</f>
        <v>14</v>
      </c>
      <c r="B186" s="741" t="s">
        <v>676</v>
      </c>
      <c r="C186" s="751"/>
      <c r="D186" s="751"/>
      <c r="E186" s="751"/>
      <c r="F186" s="751"/>
      <c r="G186" s="751"/>
      <c r="H186" s="751"/>
      <c r="I186" s="751"/>
      <c r="J186" s="751"/>
      <c r="K186" s="751"/>
      <c r="L186" s="751"/>
      <c r="M186" s="751"/>
      <c r="N186" s="751"/>
      <c r="O186" s="751"/>
      <c r="P186" s="751"/>
      <c r="Q186" s="751"/>
      <c r="R186" s="751"/>
      <c r="S186" s="751"/>
    </row>
    <row r="187" spans="1:19">
      <c r="A187" s="758"/>
      <c r="B187" s="745"/>
      <c r="C187" s="751"/>
      <c r="D187" s="751"/>
      <c r="E187" s="751"/>
      <c r="F187" s="751"/>
      <c r="G187" s="751"/>
      <c r="H187" s="751"/>
      <c r="I187" s="751"/>
      <c r="J187" s="751"/>
      <c r="K187" s="751"/>
      <c r="L187" s="751"/>
      <c r="M187" s="751"/>
      <c r="N187" s="751"/>
      <c r="O187" s="751"/>
      <c r="P187" s="751"/>
      <c r="Q187" s="751"/>
      <c r="R187" s="751"/>
      <c r="S187" s="751"/>
    </row>
    <row r="188" spans="1:19">
      <c r="A188" s="758">
        <f>+A186+1</f>
        <v>15</v>
      </c>
      <c r="B188" s="741" t="s">
        <v>677</v>
      </c>
      <c r="C188" s="751"/>
      <c r="D188" s="751"/>
      <c r="E188" s="751"/>
      <c r="F188" s="751"/>
      <c r="G188" s="751"/>
      <c r="H188" s="751"/>
      <c r="I188" s="751"/>
      <c r="J188" s="751"/>
      <c r="K188" s="751"/>
      <c r="L188" s="751"/>
      <c r="M188" s="751"/>
      <c r="N188" s="751"/>
      <c r="O188" s="751"/>
      <c r="P188" s="751"/>
      <c r="Q188" s="751"/>
      <c r="R188" s="751"/>
      <c r="S188" s="751"/>
    </row>
    <row r="189" spans="1:19">
      <c r="A189" s="758"/>
      <c r="B189" s="745"/>
      <c r="C189" s="751"/>
      <c r="D189" s="751"/>
      <c r="E189" s="751"/>
      <c r="F189" s="751"/>
      <c r="G189" s="751"/>
      <c r="H189" s="751"/>
      <c r="I189" s="751"/>
      <c r="J189" s="751"/>
      <c r="K189" s="751"/>
      <c r="L189" s="751"/>
      <c r="M189" s="751"/>
      <c r="N189" s="751"/>
      <c r="O189" s="751"/>
      <c r="P189" s="751"/>
      <c r="Q189" s="751"/>
      <c r="R189" s="751"/>
      <c r="S189" s="751"/>
    </row>
    <row r="190" spans="1:19">
      <c r="A190" s="758">
        <f>+A188+1</f>
        <v>16</v>
      </c>
      <c r="B190" s="741" t="s">
        <v>678</v>
      </c>
      <c r="C190" s="751"/>
      <c r="D190" s="751"/>
      <c r="E190" s="751"/>
      <c r="F190" s="751"/>
      <c r="G190" s="751"/>
      <c r="H190" s="751"/>
      <c r="I190" s="751"/>
      <c r="J190" s="751"/>
      <c r="K190" s="751"/>
      <c r="L190" s="751"/>
      <c r="M190" s="751"/>
      <c r="N190" s="751"/>
      <c r="O190" s="751"/>
      <c r="P190" s="751"/>
      <c r="Q190" s="751"/>
      <c r="R190" s="751"/>
      <c r="S190" s="751"/>
    </row>
    <row r="191" spans="1:19">
      <c r="A191" s="758"/>
      <c r="B191" s="745"/>
      <c r="C191" s="751"/>
      <c r="D191" s="751"/>
      <c r="E191" s="751"/>
      <c r="F191" s="751"/>
      <c r="G191" s="751"/>
      <c r="H191" s="751"/>
      <c r="I191" s="751"/>
      <c r="J191" s="751"/>
      <c r="K191" s="751"/>
      <c r="L191" s="751"/>
      <c r="M191" s="751"/>
      <c r="N191" s="751"/>
      <c r="O191" s="751"/>
      <c r="P191" s="751"/>
      <c r="Q191" s="751"/>
      <c r="R191" s="751"/>
      <c r="S191" s="751"/>
    </row>
    <row r="192" spans="1:19">
      <c r="A192" s="758">
        <f>+A190+1</f>
        <v>17</v>
      </c>
      <c r="B192" s="741" t="s">
        <v>679</v>
      </c>
      <c r="C192" s="751"/>
      <c r="D192" s="751"/>
      <c r="E192" s="751"/>
      <c r="F192" s="751"/>
      <c r="G192" s="751"/>
      <c r="H192" s="751"/>
      <c r="I192" s="751"/>
      <c r="J192" s="751"/>
      <c r="K192" s="751"/>
      <c r="L192" s="751"/>
      <c r="M192" s="751"/>
      <c r="N192" s="751"/>
      <c r="O192" s="751"/>
      <c r="P192" s="751"/>
      <c r="Q192" s="751"/>
      <c r="R192" s="751"/>
      <c r="S192" s="751"/>
    </row>
    <row r="193" spans="1:19">
      <c r="A193" s="758">
        <f>A192+1</f>
        <v>18</v>
      </c>
      <c r="B193" s="741" t="s">
        <v>680</v>
      </c>
      <c r="C193" s="751"/>
      <c r="D193" s="751"/>
      <c r="E193" s="751"/>
      <c r="F193" s="751"/>
      <c r="G193" s="751"/>
      <c r="H193" s="751"/>
      <c r="I193" s="751"/>
      <c r="J193" s="751"/>
      <c r="K193" s="751"/>
      <c r="L193" s="751"/>
      <c r="M193" s="751"/>
      <c r="N193" s="751"/>
      <c r="O193" s="751"/>
      <c r="P193" s="751"/>
      <c r="Q193" s="743"/>
      <c r="R193" s="751"/>
      <c r="S193" s="751"/>
    </row>
    <row r="194" spans="1:19">
      <c r="A194" s="774">
        <f>A193+0.01</f>
        <v>18.010000000000002</v>
      </c>
      <c r="B194" s="743"/>
      <c r="C194" s="751">
        <f>SUM(M194:O194)</f>
        <v>0</v>
      </c>
      <c r="D194" s="751">
        <f>SUM(Q194:S194)</f>
        <v>0</v>
      </c>
      <c r="E194" s="751"/>
      <c r="F194" s="751"/>
      <c r="G194" s="751">
        <f>ROUND(SUM(C194:F194)/2,0)</f>
        <v>0</v>
      </c>
      <c r="H194" s="751"/>
      <c r="I194" s="751">
        <f t="shared" ref="I194:K195" si="24">(M194+Q194)/2</f>
        <v>0</v>
      </c>
      <c r="J194" s="751">
        <f t="shared" si="24"/>
        <v>0</v>
      </c>
      <c r="K194" s="751">
        <f t="shared" si="24"/>
        <v>0</v>
      </c>
      <c r="L194" s="751"/>
      <c r="M194" s="743"/>
      <c r="N194" s="743"/>
      <c r="O194" s="743"/>
      <c r="P194" s="751"/>
      <c r="Q194" s="743"/>
      <c r="R194" s="743"/>
      <c r="S194" s="743"/>
    </row>
    <row r="195" spans="1:19">
      <c r="A195" s="774">
        <f>A194+0.01</f>
        <v>18.020000000000003</v>
      </c>
      <c r="B195" s="743"/>
      <c r="C195" s="751">
        <f>SUM(M195:O195)</f>
        <v>0</v>
      </c>
      <c r="D195" s="751">
        <f>SUM(Q195:S195)</f>
        <v>0</v>
      </c>
      <c r="E195" s="751"/>
      <c r="F195" s="751"/>
      <c r="G195" s="751">
        <f>ROUND(SUM(C195:F195)/2,0)</f>
        <v>0</v>
      </c>
      <c r="H195" s="751"/>
      <c r="I195" s="751">
        <f t="shared" si="24"/>
        <v>0</v>
      </c>
      <c r="J195" s="751">
        <f t="shared" si="24"/>
        <v>0</v>
      </c>
      <c r="K195" s="751">
        <f t="shared" si="24"/>
        <v>0</v>
      </c>
      <c r="L195" s="751"/>
      <c r="M195" s="743"/>
      <c r="N195" s="743"/>
      <c r="O195" s="743"/>
      <c r="P195" s="751"/>
      <c r="Q195" s="743"/>
      <c r="R195" s="743"/>
      <c r="S195" s="743"/>
    </row>
    <row r="196" spans="1:19">
      <c r="A196" s="758">
        <f>INT(A195)+1</f>
        <v>19</v>
      </c>
      <c r="C196" s="751"/>
      <c r="D196" s="751"/>
      <c r="E196" s="751"/>
      <c r="F196" s="751"/>
      <c r="G196" s="751"/>
      <c r="H196" s="751"/>
      <c r="I196" s="751"/>
      <c r="J196" s="751"/>
      <c r="K196" s="751"/>
      <c r="L196" s="751"/>
      <c r="M196" s="751"/>
      <c r="N196" s="751"/>
      <c r="O196" s="751"/>
      <c r="P196" s="751"/>
      <c r="Q196" s="751"/>
      <c r="R196" s="751"/>
      <c r="S196" s="751"/>
    </row>
    <row r="197" spans="1:19">
      <c r="A197" s="758">
        <f>A196+1</f>
        <v>20</v>
      </c>
      <c r="B197" s="741" t="s">
        <v>681</v>
      </c>
      <c r="C197" s="753">
        <f>SUM(C194:C196)</f>
        <v>0</v>
      </c>
      <c r="D197" s="753">
        <f>SUM(D194:D196)</f>
        <v>0</v>
      </c>
      <c r="E197" s="753">
        <f>SUM(E194:E196)</f>
        <v>0</v>
      </c>
      <c r="F197" s="753">
        <f>SUM(F194:F196)</f>
        <v>0</v>
      </c>
      <c r="G197" s="753">
        <f>SUM(G194:G196)</f>
        <v>0</v>
      </c>
      <c r="H197" s="751"/>
      <c r="I197" s="753">
        <f>SUM(I194:I196)</f>
        <v>0</v>
      </c>
      <c r="J197" s="753">
        <f>SUM(J194:J196)</f>
        <v>0</v>
      </c>
      <c r="K197" s="753">
        <f>SUM(K194:K196)</f>
        <v>0</v>
      </c>
      <c r="L197" s="751"/>
      <c r="M197" s="753">
        <f>SUM(M194:M196)</f>
        <v>0</v>
      </c>
      <c r="N197" s="753">
        <f>SUM(N194:N196)</f>
        <v>0</v>
      </c>
      <c r="O197" s="753">
        <f>SUM(O194:O196)</f>
        <v>0</v>
      </c>
      <c r="P197" s="751"/>
      <c r="Q197" s="753">
        <f>SUM(Q194:Q196)</f>
        <v>0</v>
      </c>
      <c r="R197" s="753">
        <f>SUM(R194:R196)</f>
        <v>0</v>
      </c>
      <c r="S197" s="753">
        <f>SUM(S194:S196)</f>
        <v>0</v>
      </c>
    </row>
  </sheetData>
  <pageMargins left="0.7" right="0.7" top="0.75" bottom="0.75" header="0.3" footer="0.3"/>
  <pageSetup scale="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V111"/>
  <sheetViews>
    <sheetView view="pageBreakPreview" zoomScale="60" zoomScaleNormal="100" workbookViewId="0">
      <selection activeCell="A19" sqref="A19:IV95"/>
    </sheetView>
  </sheetViews>
  <sheetFormatPr defaultRowHeight="12.75"/>
  <cols>
    <col min="1" max="1" width="6" style="741" customWidth="1"/>
    <col min="2" max="2" width="54.5703125" style="741" bestFit="1" customWidth="1"/>
    <col min="3" max="3" width="13.42578125" style="741" bestFit="1" customWidth="1"/>
    <col min="4" max="4" width="12.85546875" style="741" bestFit="1" customWidth="1"/>
    <col min="5" max="6" width="17" style="741" customWidth="1"/>
    <col min="7" max="7" width="15.28515625" style="741" bestFit="1" customWidth="1"/>
    <col min="8" max="8" width="9.140625" style="741"/>
    <col min="9" max="9" width="13.140625" style="741" bestFit="1" customWidth="1"/>
    <col min="10" max="10" width="15" style="741" bestFit="1" customWidth="1"/>
    <col min="11" max="11" width="13.5703125" style="741" bestFit="1" customWidth="1"/>
    <col min="12" max="12" width="9.140625" style="741"/>
    <col min="13" max="13" width="13.140625" style="741" bestFit="1" customWidth="1"/>
    <col min="14" max="14" width="15" style="741" bestFit="1" customWidth="1"/>
    <col min="15" max="15" width="13.5703125" style="741" bestFit="1" customWidth="1"/>
    <col min="16" max="16" width="9.140625" style="741"/>
    <col min="17" max="17" width="13.140625" style="741" bestFit="1" customWidth="1"/>
    <col min="18" max="18" width="15" style="741" bestFit="1" customWidth="1"/>
    <col min="19" max="19" width="13.5703125" style="741" bestFit="1" customWidth="1"/>
    <col min="20" max="16384" width="9.140625" style="741"/>
  </cols>
  <sheetData>
    <row r="1" spans="1:19">
      <c r="A1" s="759"/>
      <c r="B1" s="773" t="str">
        <f>TCOS!F9</f>
        <v>AEP Ohio Transmission Company</v>
      </c>
      <c r="C1" s="745"/>
      <c r="D1" s="745"/>
      <c r="E1" s="745"/>
      <c r="F1" s="745"/>
      <c r="M1" s="745"/>
      <c r="N1" s="745"/>
      <c r="P1" s="745"/>
      <c r="Q1" s="745"/>
      <c r="R1" s="745"/>
    </row>
    <row r="2" spans="1:19">
      <c r="A2" s="759"/>
      <c r="B2" s="744" t="s">
        <v>682</v>
      </c>
      <c r="C2" s="745"/>
      <c r="D2" s="745"/>
      <c r="E2" s="745"/>
      <c r="F2" s="745"/>
      <c r="M2" s="745"/>
      <c r="N2" s="745"/>
      <c r="P2" s="745"/>
      <c r="Q2" s="745"/>
      <c r="R2" s="745"/>
    </row>
    <row r="3" spans="1:19">
      <c r="A3" s="759"/>
      <c r="B3" s="744" t="str">
        <f>"PERIOD ENDED DECEMBER 31, "&amp;TCOS!L4</f>
        <v>PERIOD ENDED DECEMBER 31, 2026</v>
      </c>
      <c r="C3" s="745"/>
      <c r="D3" s="745"/>
      <c r="E3" s="745"/>
      <c r="F3" s="745"/>
      <c r="G3" s="745"/>
      <c r="H3" s="745"/>
      <c r="I3" s="745"/>
      <c r="J3" s="745"/>
      <c r="K3" s="745"/>
      <c r="L3" s="745"/>
      <c r="M3" s="745"/>
      <c r="N3" s="745"/>
      <c r="O3" s="745"/>
      <c r="P3" s="745"/>
      <c r="Q3" s="745"/>
      <c r="R3" s="745"/>
      <c r="S3" s="745"/>
    </row>
    <row r="4" spans="1:19">
      <c r="A4" s="759"/>
      <c r="B4" s="750"/>
      <c r="C4" s="745"/>
      <c r="D4" s="745"/>
      <c r="E4" s="745"/>
      <c r="F4" s="745"/>
      <c r="G4" s="742" t="s">
        <v>683</v>
      </c>
      <c r="H4" s="745"/>
      <c r="I4" s="745"/>
      <c r="J4" s="745"/>
      <c r="K4" s="745"/>
      <c r="L4" s="745"/>
      <c r="M4" s="745"/>
      <c r="N4" s="745"/>
      <c r="O4" s="745"/>
      <c r="P4" s="745"/>
      <c r="Q4" s="745"/>
      <c r="R4" s="745"/>
      <c r="S4" s="745"/>
    </row>
    <row r="5" spans="1:19">
      <c r="A5" s="759"/>
      <c r="B5" s="745"/>
      <c r="C5" s="745"/>
      <c r="D5" s="745"/>
      <c r="E5" s="745"/>
      <c r="F5" s="745"/>
      <c r="G5" s="745"/>
      <c r="H5" s="745"/>
      <c r="I5" s="745"/>
      <c r="J5" s="745"/>
      <c r="K5" s="745"/>
      <c r="L5" s="745"/>
      <c r="M5" s="745"/>
      <c r="N5" s="745"/>
      <c r="O5" s="745"/>
      <c r="P5" s="745"/>
      <c r="Q5" s="745"/>
      <c r="R5" s="745"/>
      <c r="S5" s="745"/>
    </row>
    <row r="6" spans="1:19">
      <c r="A6" s="759"/>
      <c r="B6" s="745"/>
      <c r="C6" s="745"/>
      <c r="D6" s="745"/>
      <c r="E6" s="745"/>
      <c r="F6" s="745"/>
      <c r="G6" s="745"/>
      <c r="H6" s="742"/>
      <c r="I6" s="742"/>
      <c r="J6" s="742"/>
      <c r="K6" s="742"/>
      <c r="L6" s="742"/>
      <c r="M6" s="745"/>
      <c r="N6" s="745"/>
      <c r="O6" s="745"/>
      <c r="P6" s="745"/>
      <c r="Q6" s="745"/>
      <c r="R6" s="745"/>
      <c r="S6" s="745"/>
    </row>
    <row r="7" spans="1:19">
      <c r="A7" s="759"/>
      <c r="B7" s="745"/>
      <c r="C7" s="745"/>
      <c r="D7" s="745"/>
      <c r="E7" s="745"/>
      <c r="F7" s="745"/>
      <c r="G7" s="745"/>
      <c r="H7" s="745"/>
      <c r="I7" s="745"/>
      <c r="J7" s="745"/>
      <c r="K7" s="745"/>
      <c r="L7" s="745"/>
      <c r="M7" s="745"/>
      <c r="N7" s="745"/>
      <c r="O7" s="745"/>
      <c r="P7" s="745"/>
      <c r="Q7" s="745"/>
      <c r="R7" s="745"/>
      <c r="S7" s="745"/>
    </row>
    <row r="8" spans="1:19">
      <c r="A8" s="759"/>
      <c r="B8" s="746" t="s">
        <v>639</v>
      </c>
      <c r="C8" s="746" t="s">
        <v>640</v>
      </c>
      <c r="D8" s="746" t="s">
        <v>641</v>
      </c>
      <c r="E8" s="746" t="s">
        <v>642</v>
      </c>
      <c r="F8" s="746" t="s">
        <v>643</v>
      </c>
      <c r="G8" s="746" t="s">
        <v>644</v>
      </c>
      <c r="H8" s="746"/>
      <c r="I8" s="746" t="s">
        <v>645</v>
      </c>
      <c r="J8" s="746" t="s">
        <v>646</v>
      </c>
      <c r="K8" s="746" t="s">
        <v>647</v>
      </c>
      <c r="L8" s="746"/>
      <c r="M8" s="746" t="s">
        <v>648</v>
      </c>
      <c r="N8" s="746" t="s">
        <v>649</v>
      </c>
      <c r="O8" s="746" t="s">
        <v>650</v>
      </c>
      <c r="P8" s="745"/>
      <c r="Q8" s="746" t="s">
        <v>651</v>
      </c>
      <c r="R8" s="746" t="s">
        <v>652</v>
      </c>
      <c r="S8" s="746" t="s">
        <v>653</v>
      </c>
    </row>
    <row r="9" spans="1:19">
      <c r="A9" s="759"/>
      <c r="B9" s="745"/>
      <c r="C9" s="745"/>
      <c r="D9" s="745"/>
      <c r="E9" s="745"/>
      <c r="F9" s="745"/>
      <c r="G9" s="745"/>
      <c r="H9" s="745"/>
      <c r="I9" s="745"/>
      <c r="J9" s="745"/>
      <c r="K9" s="745"/>
      <c r="L9" s="745"/>
      <c r="M9" s="745"/>
      <c r="N9" s="745"/>
      <c r="O9" s="745"/>
      <c r="P9" s="745"/>
      <c r="Q9" s="745"/>
      <c r="R9" s="745"/>
      <c r="S9" s="745"/>
    </row>
    <row r="10" spans="1:19">
      <c r="A10" s="759"/>
      <c r="B10" s="745"/>
      <c r="C10" s="747" t="s">
        <v>654</v>
      </c>
      <c r="D10" s="747"/>
      <c r="E10" s="748" t="s">
        <v>655</v>
      </c>
      <c r="F10" s="747"/>
      <c r="G10" s="742" t="s">
        <v>656</v>
      </c>
      <c r="H10" s="742"/>
      <c r="I10" s="747" t="s">
        <v>657</v>
      </c>
      <c r="J10" s="747"/>
      <c r="K10" s="747"/>
      <c r="L10" s="742"/>
      <c r="M10" s="747" t="str">
        <f>"FUNCTIONALIZATION 12/31/"&amp;TCOS!L4-1</f>
        <v>FUNCTIONALIZATION 12/31/2025</v>
      </c>
      <c r="N10" s="747"/>
      <c r="O10" s="747"/>
      <c r="P10" s="745"/>
      <c r="Q10" s="747" t="str">
        <f>"FUNCTIONALIZATION 12/31/"&amp;TCOS!L4</f>
        <v>FUNCTIONALIZATION 12/31/2026</v>
      </c>
      <c r="R10" s="747"/>
      <c r="S10" s="747"/>
    </row>
    <row r="11" spans="1:19">
      <c r="A11" s="759"/>
      <c r="B11" s="745"/>
      <c r="C11" s="749"/>
      <c r="D11" s="749"/>
      <c r="E11" s="745"/>
      <c r="F11" s="745"/>
      <c r="G11" s="742" t="s">
        <v>658</v>
      </c>
      <c r="H11" s="742"/>
      <c r="I11" s="749"/>
      <c r="J11" s="749"/>
      <c r="K11" s="749"/>
      <c r="L11" s="742"/>
      <c r="M11" s="749"/>
      <c r="N11" s="749"/>
      <c r="O11" s="749"/>
      <c r="P11" s="745"/>
      <c r="Q11" s="749"/>
      <c r="R11" s="749"/>
      <c r="S11" s="749"/>
    </row>
    <row r="12" spans="1:19">
      <c r="A12" s="759"/>
      <c r="B12" s="745"/>
      <c r="C12" s="742" t="s">
        <v>659</v>
      </c>
      <c r="D12" s="742" t="s">
        <v>659</v>
      </c>
      <c r="E12" s="742" t="s">
        <v>659</v>
      </c>
      <c r="F12" s="742" t="s">
        <v>659</v>
      </c>
      <c r="G12" s="742" t="s">
        <v>660</v>
      </c>
      <c r="H12" s="742"/>
      <c r="I12" s="745"/>
      <c r="J12" s="745"/>
      <c r="K12" s="745"/>
      <c r="L12" s="742"/>
      <c r="M12" s="745"/>
      <c r="N12" s="745"/>
      <c r="O12" s="745"/>
      <c r="P12" s="745"/>
      <c r="Q12" s="745"/>
      <c r="R12" s="745"/>
      <c r="S12" s="745"/>
    </row>
    <row r="13" spans="1:19">
      <c r="A13" s="759"/>
      <c r="B13" s="746" t="s">
        <v>661</v>
      </c>
      <c r="C13" s="746" t="str">
        <f>"OF 12-31-"&amp;TCOS!L4-1</f>
        <v>OF 12-31-2025</v>
      </c>
      <c r="D13" s="746" t="str">
        <f>"OF 12-31-"&amp;TCOS!L4</f>
        <v>OF 12-31-2026</v>
      </c>
      <c r="E13" s="746" t="str">
        <f>"OF 12-31-"&amp;TCOS!L4-1</f>
        <v>OF 12-31-2025</v>
      </c>
      <c r="F13" s="746" t="str">
        <f>"OF 12-31-"&amp;TCOS!L4</f>
        <v>OF 12-31-2026</v>
      </c>
      <c r="G13" s="746" t="s">
        <v>662</v>
      </c>
      <c r="H13" s="746"/>
      <c r="I13" s="746" t="s">
        <v>663</v>
      </c>
      <c r="J13" s="746" t="s">
        <v>664</v>
      </c>
      <c r="K13" s="746" t="s">
        <v>665</v>
      </c>
      <c r="L13" s="746"/>
      <c r="M13" s="746" t="s">
        <v>663</v>
      </c>
      <c r="N13" s="746" t="s">
        <v>664</v>
      </c>
      <c r="O13" s="746" t="s">
        <v>665</v>
      </c>
      <c r="P13" s="745"/>
      <c r="Q13" s="746" t="s">
        <v>663</v>
      </c>
      <c r="R13" s="746" t="s">
        <v>664</v>
      </c>
      <c r="S13" s="746" t="s">
        <v>665</v>
      </c>
    </row>
    <row r="14" spans="1:19">
      <c r="A14" s="759"/>
      <c r="B14" s="745"/>
      <c r="C14" s="745"/>
      <c r="D14" s="745"/>
      <c r="E14" s="745"/>
      <c r="F14" s="745"/>
      <c r="G14" s="745"/>
      <c r="H14" s="745"/>
      <c r="I14" s="745"/>
      <c r="J14" s="745"/>
      <c r="K14" s="745"/>
      <c r="L14" s="745"/>
      <c r="M14" s="745"/>
      <c r="N14" s="745"/>
      <c r="O14" s="745"/>
      <c r="P14" s="745"/>
      <c r="Q14" s="745"/>
      <c r="R14" s="745"/>
      <c r="S14" s="745"/>
    </row>
    <row r="15" spans="1:19">
      <c r="A15" s="760">
        <v>1</v>
      </c>
      <c r="B15" s="751" t="s">
        <v>684</v>
      </c>
      <c r="C15" s="751"/>
      <c r="D15" s="751"/>
      <c r="E15" s="751"/>
      <c r="F15" s="752"/>
      <c r="G15" s="751"/>
      <c r="H15" s="751"/>
      <c r="I15" s="751"/>
      <c r="J15" s="751"/>
      <c r="K15" s="751"/>
      <c r="L15" s="751"/>
      <c r="M15" s="751"/>
      <c r="N15" s="751"/>
      <c r="O15" s="751"/>
      <c r="P15" s="751"/>
      <c r="Q15" s="751"/>
      <c r="R15" s="751"/>
      <c r="S15" s="751"/>
    </row>
    <row r="16" spans="1:19">
      <c r="A16" s="760"/>
      <c r="B16" s="751"/>
      <c r="C16" s="751"/>
      <c r="D16" s="751"/>
      <c r="E16" s="751"/>
      <c r="F16" s="751"/>
      <c r="G16" s="751"/>
      <c r="H16" s="751"/>
      <c r="I16" s="751"/>
      <c r="J16" s="751"/>
      <c r="K16" s="751"/>
      <c r="L16" s="751"/>
      <c r="M16" s="751"/>
      <c r="N16" s="751"/>
      <c r="O16" s="751"/>
      <c r="P16" s="751"/>
      <c r="Q16" s="751"/>
      <c r="R16" s="751"/>
      <c r="S16" s="751"/>
    </row>
    <row r="17" spans="1:19">
      <c r="A17" s="765">
        <v>2.0099999999999998</v>
      </c>
      <c r="B17" s="743"/>
      <c r="C17" s="751">
        <f t="shared" ref="C17:C80" si="0">SUM(M17:O17)</f>
        <v>0</v>
      </c>
      <c r="D17" s="751">
        <f t="shared" ref="D17:D80" si="1">SUM(Q17:S17)</f>
        <v>0</v>
      </c>
      <c r="E17" s="751"/>
      <c r="F17" s="751"/>
      <c r="G17" s="751">
        <f t="shared" ref="G17:G80" si="2">ROUND(SUM(C17:F17)/2,0)</f>
        <v>0</v>
      </c>
      <c r="H17" s="751"/>
      <c r="I17" s="751">
        <f t="shared" ref="I17:K48" si="3">(M17+Q17)/2</f>
        <v>0</v>
      </c>
      <c r="J17" s="751">
        <f t="shared" si="3"/>
        <v>0</v>
      </c>
      <c r="K17" s="751">
        <f t="shared" si="3"/>
        <v>0</v>
      </c>
      <c r="L17" s="751"/>
      <c r="M17" s="743"/>
      <c r="N17" s="743"/>
      <c r="O17" s="743"/>
      <c r="P17" s="751"/>
      <c r="Q17" s="743"/>
      <c r="R17" s="743"/>
      <c r="S17" s="743"/>
    </row>
    <row r="18" spans="1:19">
      <c r="A18" s="765">
        <f>A17+0.01</f>
        <v>2.0199999999999996</v>
      </c>
      <c r="B18" s="743"/>
      <c r="C18" s="751">
        <f t="shared" si="0"/>
        <v>0</v>
      </c>
      <c r="D18" s="751">
        <f t="shared" si="1"/>
        <v>0</v>
      </c>
      <c r="E18" s="751"/>
      <c r="F18" s="751"/>
      <c r="G18" s="751">
        <f t="shared" si="2"/>
        <v>0</v>
      </c>
      <c r="H18" s="751"/>
      <c r="I18" s="751">
        <f t="shared" si="3"/>
        <v>0</v>
      </c>
      <c r="J18" s="751">
        <f t="shared" si="3"/>
        <v>0</v>
      </c>
      <c r="K18" s="751">
        <f t="shared" si="3"/>
        <v>0</v>
      </c>
      <c r="L18" s="751"/>
      <c r="M18" s="743"/>
      <c r="N18" s="743"/>
      <c r="O18" s="743"/>
      <c r="P18" s="751"/>
      <c r="Q18" s="743"/>
      <c r="R18" s="743"/>
      <c r="S18" s="743"/>
    </row>
    <row r="19" spans="1:19" hidden="1">
      <c r="A19" s="765">
        <f t="shared" ref="A19:A82" si="4">A18+0.01</f>
        <v>2.0299999999999994</v>
      </c>
      <c r="B19" s="743"/>
      <c r="C19" s="751">
        <f t="shared" si="0"/>
        <v>0</v>
      </c>
      <c r="D19" s="751">
        <f t="shared" si="1"/>
        <v>0</v>
      </c>
      <c r="E19" s="751"/>
      <c r="F19" s="751"/>
      <c r="G19" s="751">
        <f t="shared" si="2"/>
        <v>0</v>
      </c>
      <c r="H19" s="751"/>
      <c r="I19" s="751">
        <f t="shared" si="3"/>
        <v>0</v>
      </c>
      <c r="J19" s="751">
        <f t="shared" si="3"/>
        <v>0</v>
      </c>
      <c r="K19" s="751">
        <f t="shared" si="3"/>
        <v>0</v>
      </c>
      <c r="L19" s="751"/>
      <c r="M19" s="743"/>
      <c r="N19" s="743"/>
      <c r="O19" s="743"/>
      <c r="P19" s="751"/>
      <c r="Q19" s="743"/>
      <c r="R19" s="743"/>
      <c r="S19" s="743"/>
    </row>
    <row r="20" spans="1:19" hidden="1">
      <c r="A20" s="765">
        <f t="shared" si="4"/>
        <v>2.0399999999999991</v>
      </c>
      <c r="B20" s="743"/>
      <c r="C20" s="751">
        <f t="shared" si="0"/>
        <v>0</v>
      </c>
      <c r="D20" s="751">
        <f t="shared" si="1"/>
        <v>0</v>
      </c>
      <c r="E20" s="751"/>
      <c r="F20" s="751"/>
      <c r="G20" s="751">
        <f t="shared" si="2"/>
        <v>0</v>
      </c>
      <c r="H20" s="751"/>
      <c r="I20" s="751">
        <f t="shared" si="3"/>
        <v>0</v>
      </c>
      <c r="J20" s="751">
        <f t="shared" si="3"/>
        <v>0</v>
      </c>
      <c r="K20" s="751">
        <f t="shared" si="3"/>
        <v>0</v>
      </c>
      <c r="L20" s="751"/>
      <c r="M20" s="743"/>
      <c r="N20" s="743"/>
      <c r="O20" s="743"/>
      <c r="P20" s="751"/>
      <c r="Q20" s="743"/>
      <c r="R20" s="743"/>
      <c r="S20" s="743"/>
    </row>
    <row r="21" spans="1:19" hidden="1">
      <c r="A21" s="765">
        <f t="shared" si="4"/>
        <v>2.0499999999999989</v>
      </c>
      <c r="B21" s="743"/>
      <c r="C21" s="751">
        <f t="shared" si="0"/>
        <v>0</v>
      </c>
      <c r="D21" s="751">
        <f t="shared" si="1"/>
        <v>0</v>
      </c>
      <c r="E21" s="751"/>
      <c r="F21" s="751"/>
      <c r="G21" s="751">
        <f t="shared" si="2"/>
        <v>0</v>
      </c>
      <c r="H21" s="751"/>
      <c r="I21" s="751">
        <f t="shared" si="3"/>
        <v>0</v>
      </c>
      <c r="J21" s="751">
        <f t="shared" si="3"/>
        <v>0</v>
      </c>
      <c r="K21" s="751">
        <f t="shared" si="3"/>
        <v>0</v>
      </c>
      <c r="L21" s="751"/>
      <c r="M21" s="743"/>
      <c r="N21" s="743"/>
      <c r="O21" s="743"/>
      <c r="P21" s="751"/>
      <c r="Q21" s="743"/>
      <c r="R21" s="743"/>
      <c r="S21" s="743"/>
    </row>
    <row r="22" spans="1:19" hidden="1">
      <c r="A22" s="765">
        <f t="shared" si="4"/>
        <v>2.0599999999999987</v>
      </c>
      <c r="B22" s="743"/>
      <c r="C22" s="751">
        <f t="shared" si="0"/>
        <v>0</v>
      </c>
      <c r="D22" s="751">
        <f t="shared" si="1"/>
        <v>0</v>
      </c>
      <c r="E22" s="751"/>
      <c r="F22" s="751"/>
      <c r="G22" s="751">
        <f t="shared" si="2"/>
        <v>0</v>
      </c>
      <c r="H22" s="751"/>
      <c r="I22" s="751">
        <f t="shared" si="3"/>
        <v>0</v>
      </c>
      <c r="J22" s="751">
        <f t="shared" si="3"/>
        <v>0</v>
      </c>
      <c r="K22" s="751">
        <f t="shared" si="3"/>
        <v>0</v>
      </c>
      <c r="L22" s="751"/>
      <c r="M22" s="743"/>
      <c r="N22" s="743"/>
      <c r="O22" s="743"/>
      <c r="P22" s="751"/>
      <c r="Q22" s="743"/>
      <c r="R22" s="743"/>
      <c r="S22" s="743"/>
    </row>
    <row r="23" spans="1:19" hidden="1">
      <c r="A23" s="765">
        <f t="shared" si="4"/>
        <v>2.0699999999999985</v>
      </c>
      <c r="B23" s="743"/>
      <c r="C23" s="751">
        <f t="shared" si="0"/>
        <v>0</v>
      </c>
      <c r="D23" s="751">
        <f t="shared" si="1"/>
        <v>0</v>
      </c>
      <c r="E23" s="751"/>
      <c r="F23" s="751"/>
      <c r="G23" s="751">
        <f t="shared" si="2"/>
        <v>0</v>
      </c>
      <c r="H23" s="751"/>
      <c r="I23" s="751">
        <f t="shared" si="3"/>
        <v>0</v>
      </c>
      <c r="J23" s="751">
        <f t="shared" si="3"/>
        <v>0</v>
      </c>
      <c r="K23" s="751">
        <f t="shared" si="3"/>
        <v>0</v>
      </c>
      <c r="L23" s="751"/>
      <c r="M23" s="743"/>
      <c r="N23" s="743"/>
      <c r="O23" s="743"/>
      <c r="P23" s="751"/>
      <c r="Q23" s="743"/>
      <c r="R23" s="743"/>
      <c r="S23" s="743"/>
    </row>
    <row r="24" spans="1:19" hidden="1">
      <c r="A24" s="765">
        <f t="shared" si="4"/>
        <v>2.0799999999999983</v>
      </c>
      <c r="B24" s="743"/>
      <c r="C24" s="751">
        <f t="shared" si="0"/>
        <v>0</v>
      </c>
      <c r="D24" s="751">
        <f t="shared" si="1"/>
        <v>0</v>
      </c>
      <c r="E24" s="751"/>
      <c r="F24" s="751"/>
      <c r="G24" s="751">
        <f t="shared" si="2"/>
        <v>0</v>
      </c>
      <c r="H24" s="751"/>
      <c r="I24" s="751">
        <f t="shared" si="3"/>
        <v>0</v>
      </c>
      <c r="J24" s="751">
        <f t="shared" si="3"/>
        <v>0</v>
      </c>
      <c r="K24" s="751">
        <f t="shared" si="3"/>
        <v>0</v>
      </c>
      <c r="L24" s="751"/>
      <c r="M24" s="743"/>
      <c r="N24" s="743"/>
      <c r="O24" s="743"/>
      <c r="P24" s="751"/>
      <c r="Q24" s="743"/>
      <c r="R24" s="743"/>
      <c r="S24" s="743"/>
    </row>
    <row r="25" spans="1:19" hidden="1">
      <c r="A25" s="765">
        <f t="shared" si="4"/>
        <v>2.0899999999999981</v>
      </c>
      <c r="B25" s="743"/>
      <c r="C25" s="751">
        <f t="shared" si="0"/>
        <v>0</v>
      </c>
      <c r="D25" s="751">
        <f t="shared" si="1"/>
        <v>0</v>
      </c>
      <c r="E25" s="751"/>
      <c r="F25" s="751"/>
      <c r="G25" s="751">
        <f t="shared" si="2"/>
        <v>0</v>
      </c>
      <c r="H25" s="751"/>
      <c r="I25" s="751">
        <f t="shared" si="3"/>
        <v>0</v>
      </c>
      <c r="J25" s="751">
        <f t="shared" si="3"/>
        <v>0</v>
      </c>
      <c r="K25" s="751">
        <f t="shared" si="3"/>
        <v>0</v>
      </c>
      <c r="L25" s="751"/>
      <c r="M25" s="743"/>
      <c r="N25" s="743"/>
      <c r="O25" s="743"/>
      <c r="P25" s="751"/>
      <c r="Q25" s="743"/>
      <c r="R25" s="743"/>
      <c r="S25" s="743"/>
    </row>
    <row r="26" spans="1:19" hidden="1">
      <c r="A26" s="765">
        <f t="shared" si="4"/>
        <v>2.0999999999999979</v>
      </c>
      <c r="B26" s="743"/>
      <c r="C26" s="751">
        <f t="shared" si="0"/>
        <v>0</v>
      </c>
      <c r="D26" s="751">
        <f t="shared" si="1"/>
        <v>0</v>
      </c>
      <c r="E26" s="751"/>
      <c r="F26" s="751"/>
      <c r="G26" s="751">
        <f t="shared" si="2"/>
        <v>0</v>
      </c>
      <c r="H26" s="751"/>
      <c r="I26" s="751">
        <f t="shared" si="3"/>
        <v>0</v>
      </c>
      <c r="J26" s="751">
        <f t="shared" si="3"/>
        <v>0</v>
      </c>
      <c r="K26" s="751">
        <f t="shared" si="3"/>
        <v>0</v>
      </c>
      <c r="L26" s="751"/>
      <c r="M26" s="743"/>
      <c r="N26" s="743"/>
      <c r="O26" s="743"/>
      <c r="P26" s="751"/>
      <c r="Q26" s="743"/>
      <c r="R26" s="743"/>
      <c r="S26" s="743"/>
    </row>
    <row r="27" spans="1:19" hidden="1">
      <c r="A27" s="765">
        <f t="shared" si="4"/>
        <v>2.1099999999999977</v>
      </c>
      <c r="B27" s="743"/>
      <c r="C27" s="751">
        <f t="shared" si="0"/>
        <v>0</v>
      </c>
      <c r="D27" s="751">
        <f t="shared" si="1"/>
        <v>0</v>
      </c>
      <c r="E27" s="751"/>
      <c r="F27" s="751"/>
      <c r="G27" s="751">
        <f t="shared" si="2"/>
        <v>0</v>
      </c>
      <c r="H27" s="751"/>
      <c r="I27" s="751">
        <f t="shared" si="3"/>
        <v>0</v>
      </c>
      <c r="J27" s="751">
        <f t="shared" si="3"/>
        <v>0</v>
      </c>
      <c r="K27" s="751">
        <f t="shared" si="3"/>
        <v>0</v>
      </c>
      <c r="L27" s="751"/>
      <c r="M27" s="743"/>
      <c r="N27" s="743"/>
      <c r="O27" s="743"/>
      <c r="P27" s="751"/>
      <c r="Q27" s="743"/>
      <c r="R27" s="743"/>
      <c r="S27" s="743"/>
    </row>
    <row r="28" spans="1:19" hidden="1">
      <c r="A28" s="765">
        <f t="shared" si="4"/>
        <v>2.1199999999999974</v>
      </c>
      <c r="B28" s="743"/>
      <c r="C28" s="751">
        <f t="shared" si="0"/>
        <v>0</v>
      </c>
      <c r="D28" s="751">
        <f t="shared" si="1"/>
        <v>0</v>
      </c>
      <c r="E28" s="751"/>
      <c r="F28" s="751"/>
      <c r="G28" s="751">
        <f t="shared" si="2"/>
        <v>0</v>
      </c>
      <c r="H28" s="751"/>
      <c r="I28" s="751">
        <f t="shared" si="3"/>
        <v>0</v>
      </c>
      <c r="J28" s="751">
        <f t="shared" si="3"/>
        <v>0</v>
      </c>
      <c r="K28" s="751">
        <f t="shared" si="3"/>
        <v>0</v>
      </c>
      <c r="L28" s="751"/>
      <c r="M28" s="743"/>
      <c r="N28" s="743"/>
      <c r="O28" s="743"/>
      <c r="P28" s="751"/>
      <c r="Q28" s="743"/>
      <c r="R28" s="743"/>
      <c r="S28" s="743"/>
    </row>
    <row r="29" spans="1:19" hidden="1">
      <c r="A29" s="765">
        <f t="shared" si="4"/>
        <v>2.1299999999999972</v>
      </c>
      <c r="B29" s="743"/>
      <c r="C29" s="751">
        <f t="shared" si="0"/>
        <v>0</v>
      </c>
      <c r="D29" s="751">
        <f t="shared" si="1"/>
        <v>0</v>
      </c>
      <c r="E29" s="751"/>
      <c r="F29" s="751"/>
      <c r="G29" s="751">
        <f t="shared" si="2"/>
        <v>0</v>
      </c>
      <c r="H29" s="751"/>
      <c r="I29" s="751">
        <f t="shared" si="3"/>
        <v>0</v>
      </c>
      <c r="J29" s="751">
        <f t="shared" si="3"/>
        <v>0</v>
      </c>
      <c r="K29" s="751">
        <f t="shared" si="3"/>
        <v>0</v>
      </c>
      <c r="L29" s="751"/>
      <c r="M29" s="743"/>
      <c r="N29" s="743"/>
      <c r="O29" s="743"/>
      <c r="P29" s="751"/>
      <c r="Q29" s="743"/>
      <c r="R29" s="743"/>
      <c r="S29" s="743"/>
    </row>
    <row r="30" spans="1:19" hidden="1">
      <c r="A30" s="765">
        <f t="shared" si="4"/>
        <v>2.139999999999997</v>
      </c>
      <c r="B30" s="743"/>
      <c r="C30" s="751">
        <f t="shared" si="0"/>
        <v>0</v>
      </c>
      <c r="D30" s="751">
        <f t="shared" si="1"/>
        <v>0</v>
      </c>
      <c r="E30" s="751"/>
      <c r="F30" s="751"/>
      <c r="G30" s="751">
        <f t="shared" si="2"/>
        <v>0</v>
      </c>
      <c r="H30" s="751"/>
      <c r="I30" s="751">
        <f t="shared" si="3"/>
        <v>0</v>
      </c>
      <c r="J30" s="751">
        <f t="shared" si="3"/>
        <v>0</v>
      </c>
      <c r="K30" s="751">
        <f t="shared" si="3"/>
        <v>0</v>
      </c>
      <c r="L30" s="751"/>
      <c r="M30" s="743"/>
      <c r="N30" s="743"/>
      <c r="O30" s="743"/>
      <c r="P30" s="751"/>
      <c r="Q30" s="743"/>
      <c r="R30" s="743"/>
      <c r="S30" s="743"/>
    </row>
    <row r="31" spans="1:19" hidden="1">
      <c r="A31" s="765">
        <f t="shared" si="4"/>
        <v>2.1499999999999968</v>
      </c>
      <c r="B31" s="743"/>
      <c r="C31" s="751">
        <f t="shared" si="0"/>
        <v>0</v>
      </c>
      <c r="D31" s="751">
        <f t="shared" si="1"/>
        <v>0</v>
      </c>
      <c r="E31" s="751"/>
      <c r="F31" s="751"/>
      <c r="G31" s="751">
        <f t="shared" si="2"/>
        <v>0</v>
      </c>
      <c r="H31" s="751"/>
      <c r="I31" s="751">
        <f t="shared" si="3"/>
        <v>0</v>
      </c>
      <c r="J31" s="751">
        <f t="shared" si="3"/>
        <v>0</v>
      </c>
      <c r="K31" s="751">
        <f t="shared" si="3"/>
        <v>0</v>
      </c>
      <c r="L31" s="751"/>
      <c r="M31" s="743"/>
      <c r="N31" s="743"/>
      <c r="O31" s="743"/>
      <c r="P31" s="751"/>
      <c r="Q31" s="743"/>
      <c r="R31" s="743"/>
      <c r="S31" s="743"/>
    </row>
    <row r="32" spans="1:19" hidden="1">
      <c r="A32" s="765">
        <f t="shared" si="4"/>
        <v>2.1599999999999966</v>
      </c>
      <c r="B32" s="743"/>
      <c r="C32" s="751">
        <f t="shared" si="0"/>
        <v>0</v>
      </c>
      <c r="D32" s="751">
        <f t="shared" si="1"/>
        <v>0</v>
      </c>
      <c r="E32" s="751"/>
      <c r="F32" s="751"/>
      <c r="G32" s="751">
        <f t="shared" si="2"/>
        <v>0</v>
      </c>
      <c r="H32" s="751"/>
      <c r="I32" s="751">
        <f t="shared" si="3"/>
        <v>0</v>
      </c>
      <c r="J32" s="751">
        <f t="shared" si="3"/>
        <v>0</v>
      </c>
      <c r="K32" s="751">
        <f t="shared" si="3"/>
        <v>0</v>
      </c>
      <c r="L32" s="751"/>
      <c r="M32" s="743"/>
      <c r="N32" s="743"/>
      <c r="O32" s="743"/>
      <c r="P32" s="751"/>
      <c r="Q32" s="743"/>
      <c r="R32" s="743"/>
      <c r="S32" s="743"/>
    </row>
    <row r="33" spans="1:19" hidden="1">
      <c r="A33" s="765">
        <f t="shared" si="4"/>
        <v>2.1699999999999964</v>
      </c>
      <c r="B33" s="743"/>
      <c r="C33" s="751">
        <f t="shared" si="0"/>
        <v>0</v>
      </c>
      <c r="D33" s="751">
        <f t="shared" si="1"/>
        <v>0</v>
      </c>
      <c r="E33" s="751"/>
      <c r="F33" s="751"/>
      <c r="G33" s="751">
        <f t="shared" si="2"/>
        <v>0</v>
      </c>
      <c r="H33" s="751"/>
      <c r="I33" s="751">
        <f t="shared" si="3"/>
        <v>0</v>
      </c>
      <c r="J33" s="751">
        <f t="shared" si="3"/>
        <v>0</v>
      </c>
      <c r="K33" s="751">
        <f t="shared" si="3"/>
        <v>0</v>
      </c>
      <c r="L33" s="751"/>
      <c r="M33" s="743"/>
      <c r="N33" s="743"/>
      <c r="O33" s="743"/>
      <c r="P33" s="751"/>
      <c r="Q33" s="743"/>
      <c r="R33" s="743"/>
      <c r="S33" s="743"/>
    </row>
    <row r="34" spans="1:19" hidden="1">
      <c r="A34" s="765">
        <f t="shared" si="4"/>
        <v>2.1799999999999962</v>
      </c>
      <c r="B34" s="743"/>
      <c r="C34" s="751">
        <f t="shared" si="0"/>
        <v>0</v>
      </c>
      <c r="D34" s="751">
        <f t="shared" si="1"/>
        <v>0</v>
      </c>
      <c r="E34" s="751"/>
      <c r="F34" s="751"/>
      <c r="G34" s="751">
        <f t="shared" si="2"/>
        <v>0</v>
      </c>
      <c r="H34" s="751"/>
      <c r="I34" s="751">
        <f t="shared" si="3"/>
        <v>0</v>
      </c>
      <c r="J34" s="751">
        <f t="shared" si="3"/>
        <v>0</v>
      </c>
      <c r="K34" s="751">
        <f t="shared" si="3"/>
        <v>0</v>
      </c>
      <c r="L34" s="751"/>
      <c r="M34" s="743"/>
      <c r="N34" s="743"/>
      <c r="O34" s="743"/>
      <c r="P34" s="751"/>
      <c r="Q34" s="743"/>
      <c r="R34" s="743"/>
      <c r="S34" s="743"/>
    </row>
    <row r="35" spans="1:19" hidden="1">
      <c r="A35" s="765">
        <f t="shared" si="4"/>
        <v>2.1899999999999959</v>
      </c>
      <c r="B35" s="743"/>
      <c r="C35" s="751">
        <f t="shared" si="0"/>
        <v>0</v>
      </c>
      <c r="D35" s="751">
        <f t="shared" si="1"/>
        <v>0</v>
      </c>
      <c r="E35" s="751"/>
      <c r="F35" s="751"/>
      <c r="G35" s="751">
        <f t="shared" si="2"/>
        <v>0</v>
      </c>
      <c r="H35" s="751"/>
      <c r="I35" s="751">
        <f t="shared" si="3"/>
        <v>0</v>
      </c>
      <c r="J35" s="751">
        <f t="shared" si="3"/>
        <v>0</v>
      </c>
      <c r="K35" s="751">
        <f t="shared" si="3"/>
        <v>0</v>
      </c>
      <c r="L35" s="751"/>
      <c r="M35" s="743"/>
      <c r="N35" s="743"/>
      <c r="O35" s="743"/>
      <c r="P35" s="751"/>
      <c r="Q35" s="743"/>
      <c r="R35" s="743"/>
      <c r="S35" s="743"/>
    </row>
    <row r="36" spans="1:19" hidden="1">
      <c r="A36" s="765">
        <f t="shared" si="4"/>
        <v>2.1999999999999957</v>
      </c>
      <c r="B36" s="743"/>
      <c r="C36" s="751">
        <f t="shared" si="0"/>
        <v>0</v>
      </c>
      <c r="D36" s="751">
        <f t="shared" si="1"/>
        <v>0</v>
      </c>
      <c r="E36" s="751"/>
      <c r="F36" s="751"/>
      <c r="G36" s="751">
        <f t="shared" si="2"/>
        <v>0</v>
      </c>
      <c r="H36" s="751"/>
      <c r="I36" s="751">
        <f t="shared" si="3"/>
        <v>0</v>
      </c>
      <c r="J36" s="751">
        <f t="shared" si="3"/>
        <v>0</v>
      </c>
      <c r="K36" s="751">
        <f t="shared" si="3"/>
        <v>0</v>
      </c>
      <c r="L36" s="751"/>
      <c r="M36" s="743"/>
      <c r="N36" s="743"/>
      <c r="O36" s="743"/>
      <c r="P36" s="751"/>
      <c r="Q36" s="743"/>
      <c r="R36" s="743"/>
      <c r="S36" s="743"/>
    </row>
    <row r="37" spans="1:19" hidden="1">
      <c r="A37" s="765">
        <f t="shared" si="4"/>
        <v>2.2099999999999955</v>
      </c>
      <c r="B37" s="743"/>
      <c r="C37" s="751">
        <f t="shared" si="0"/>
        <v>0</v>
      </c>
      <c r="D37" s="751">
        <f t="shared" si="1"/>
        <v>0</v>
      </c>
      <c r="E37" s="751"/>
      <c r="F37" s="751"/>
      <c r="G37" s="751">
        <f t="shared" si="2"/>
        <v>0</v>
      </c>
      <c r="H37" s="751"/>
      <c r="I37" s="751">
        <f t="shared" si="3"/>
        <v>0</v>
      </c>
      <c r="J37" s="751">
        <f t="shared" si="3"/>
        <v>0</v>
      </c>
      <c r="K37" s="751">
        <f t="shared" si="3"/>
        <v>0</v>
      </c>
      <c r="L37" s="751"/>
      <c r="M37" s="743"/>
      <c r="N37" s="743"/>
      <c r="O37" s="743"/>
      <c r="P37" s="751"/>
      <c r="Q37" s="743"/>
      <c r="R37" s="743"/>
      <c r="S37" s="743"/>
    </row>
    <row r="38" spans="1:19" hidden="1">
      <c r="A38" s="765">
        <f t="shared" si="4"/>
        <v>2.2199999999999953</v>
      </c>
      <c r="B38" s="743"/>
      <c r="C38" s="751">
        <f t="shared" si="0"/>
        <v>0</v>
      </c>
      <c r="D38" s="751">
        <f t="shared" si="1"/>
        <v>0</v>
      </c>
      <c r="E38" s="751"/>
      <c r="F38" s="751"/>
      <c r="G38" s="751">
        <f t="shared" si="2"/>
        <v>0</v>
      </c>
      <c r="H38" s="751"/>
      <c r="I38" s="751">
        <f t="shared" si="3"/>
        <v>0</v>
      </c>
      <c r="J38" s="751">
        <f t="shared" si="3"/>
        <v>0</v>
      </c>
      <c r="K38" s="751">
        <f t="shared" si="3"/>
        <v>0</v>
      </c>
      <c r="L38" s="751"/>
      <c r="M38" s="743"/>
      <c r="N38" s="743"/>
      <c r="O38" s="743"/>
      <c r="P38" s="751"/>
      <c r="Q38" s="743"/>
      <c r="R38" s="743"/>
      <c r="S38" s="743"/>
    </row>
    <row r="39" spans="1:19" hidden="1">
      <c r="A39" s="765">
        <f t="shared" si="4"/>
        <v>2.2299999999999951</v>
      </c>
      <c r="B39" s="743"/>
      <c r="C39" s="751">
        <f t="shared" si="0"/>
        <v>0</v>
      </c>
      <c r="D39" s="751">
        <f t="shared" si="1"/>
        <v>0</v>
      </c>
      <c r="E39" s="751"/>
      <c r="F39" s="751"/>
      <c r="G39" s="751">
        <f t="shared" si="2"/>
        <v>0</v>
      </c>
      <c r="H39" s="751"/>
      <c r="I39" s="751">
        <f t="shared" si="3"/>
        <v>0</v>
      </c>
      <c r="J39" s="751">
        <f t="shared" si="3"/>
        <v>0</v>
      </c>
      <c r="K39" s="751">
        <f t="shared" si="3"/>
        <v>0</v>
      </c>
      <c r="L39" s="751"/>
      <c r="M39" s="743"/>
      <c r="N39" s="743"/>
      <c r="O39" s="743"/>
      <c r="P39" s="751"/>
      <c r="Q39" s="743"/>
      <c r="R39" s="743"/>
      <c r="S39" s="743"/>
    </row>
    <row r="40" spans="1:19" hidden="1">
      <c r="A40" s="765">
        <f t="shared" si="4"/>
        <v>2.2399999999999949</v>
      </c>
      <c r="B40" s="743"/>
      <c r="C40" s="751">
        <f t="shared" si="0"/>
        <v>0</v>
      </c>
      <c r="D40" s="751">
        <f t="shared" si="1"/>
        <v>0</v>
      </c>
      <c r="E40" s="751"/>
      <c r="F40" s="751"/>
      <c r="G40" s="751">
        <f t="shared" si="2"/>
        <v>0</v>
      </c>
      <c r="H40" s="751"/>
      <c r="I40" s="751">
        <f t="shared" si="3"/>
        <v>0</v>
      </c>
      <c r="J40" s="751">
        <f t="shared" si="3"/>
        <v>0</v>
      </c>
      <c r="K40" s="751">
        <f t="shared" si="3"/>
        <v>0</v>
      </c>
      <c r="L40" s="751"/>
      <c r="M40" s="743"/>
      <c r="N40" s="743"/>
      <c r="O40" s="743"/>
      <c r="P40" s="751"/>
      <c r="Q40" s="743"/>
      <c r="R40" s="743"/>
      <c r="S40" s="743"/>
    </row>
    <row r="41" spans="1:19" hidden="1">
      <c r="A41" s="765">
        <f t="shared" si="4"/>
        <v>2.2499999999999947</v>
      </c>
      <c r="B41" s="743"/>
      <c r="C41" s="751">
        <f t="shared" si="0"/>
        <v>0</v>
      </c>
      <c r="D41" s="751">
        <f t="shared" si="1"/>
        <v>0</v>
      </c>
      <c r="E41" s="751"/>
      <c r="F41" s="751"/>
      <c r="G41" s="751">
        <f t="shared" si="2"/>
        <v>0</v>
      </c>
      <c r="H41" s="751"/>
      <c r="I41" s="751">
        <f t="shared" si="3"/>
        <v>0</v>
      </c>
      <c r="J41" s="751">
        <f t="shared" si="3"/>
        <v>0</v>
      </c>
      <c r="K41" s="751">
        <f t="shared" si="3"/>
        <v>0</v>
      </c>
      <c r="L41" s="751"/>
      <c r="M41" s="743"/>
      <c r="N41" s="743"/>
      <c r="O41" s="743"/>
      <c r="P41" s="751"/>
      <c r="Q41" s="743"/>
      <c r="R41" s="743"/>
      <c r="S41" s="743"/>
    </row>
    <row r="42" spans="1:19" hidden="1">
      <c r="A42" s="765">
        <f t="shared" si="4"/>
        <v>2.2599999999999945</v>
      </c>
      <c r="B42" s="743"/>
      <c r="C42" s="751">
        <f t="shared" si="0"/>
        <v>0</v>
      </c>
      <c r="D42" s="751">
        <f t="shared" si="1"/>
        <v>0</v>
      </c>
      <c r="E42" s="751"/>
      <c r="F42" s="751"/>
      <c r="G42" s="751">
        <f t="shared" si="2"/>
        <v>0</v>
      </c>
      <c r="H42" s="751"/>
      <c r="I42" s="751">
        <f t="shared" si="3"/>
        <v>0</v>
      </c>
      <c r="J42" s="751">
        <f t="shared" si="3"/>
        <v>0</v>
      </c>
      <c r="K42" s="751">
        <f t="shared" si="3"/>
        <v>0</v>
      </c>
      <c r="L42" s="751"/>
      <c r="M42" s="743"/>
      <c r="N42" s="743"/>
      <c r="O42" s="743"/>
      <c r="P42" s="751"/>
      <c r="Q42" s="743"/>
      <c r="R42" s="743"/>
      <c r="S42" s="743"/>
    </row>
    <row r="43" spans="1:19" hidden="1">
      <c r="A43" s="765">
        <f t="shared" si="4"/>
        <v>2.2699999999999942</v>
      </c>
      <c r="B43" s="743"/>
      <c r="C43" s="751">
        <f t="shared" si="0"/>
        <v>0</v>
      </c>
      <c r="D43" s="751">
        <f t="shared" si="1"/>
        <v>0</v>
      </c>
      <c r="E43" s="751"/>
      <c r="F43" s="751"/>
      <c r="G43" s="751">
        <f t="shared" si="2"/>
        <v>0</v>
      </c>
      <c r="H43" s="751"/>
      <c r="I43" s="751">
        <f t="shared" si="3"/>
        <v>0</v>
      </c>
      <c r="J43" s="751">
        <f t="shared" si="3"/>
        <v>0</v>
      </c>
      <c r="K43" s="751">
        <f t="shared" si="3"/>
        <v>0</v>
      </c>
      <c r="L43" s="751"/>
      <c r="M43" s="743"/>
      <c r="N43" s="743"/>
      <c r="O43" s="743"/>
      <c r="P43" s="751"/>
      <c r="Q43" s="743"/>
      <c r="R43" s="743"/>
      <c r="S43" s="743"/>
    </row>
    <row r="44" spans="1:19" hidden="1">
      <c r="A44" s="765">
        <f t="shared" si="4"/>
        <v>2.279999999999994</v>
      </c>
      <c r="B44" s="743"/>
      <c r="C44" s="751">
        <f t="shared" si="0"/>
        <v>0</v>
      </c>
      <c r="D44" s="751">
        <f t="shared" si="1"/>
        <v>0</v>
      </c>
      <c r="E44" s="751"/>
      <c r="F44" s="751"/>
      <c r="G44" s="751">
        <f t="shared" si="2"/>
        <v>0</v>
      </c>
      <c r="H44" s="751"/>
      <c r="I44" s="751">
        <f t="shared" si="3"/>
        <v>0</v>
      </c>
      <c r="J44" s="751">
        <f t="shared" si="3"/>
        <v>0</v>
      </c>
      <c r="K44" s="751">
        <f t="shared" si="3"/>
        <v>0</v>
      </c>
      <c r="L44" s="751"/>
      <c r="M44" s="743"/>
      <c r="N44" s="743"/>
      <c r="O44" s="743"/>
      <c r="P44" s="751"/>
      <c r="Q44" s="743"/>
      <c r="R44" s="743"/>
      <c r="S44" s="743"/>
    </row>
    <row r="45" spans="1:19" hidden="1">
      <c r="A45" s="765">
        <f t="shared" si="4"/>
        <v>2.2899999999999938</v>
      </c>
      <c r="B45" s="743"/>
      <c r="C45" s="751">
        <f t="shared" si="0"/>
        <v>0</v>
      </c>
      <c r="D45" s="751">
        <f t="shared" si="1"/>
        <v>0</v>
      </c>
      <c r="E45" s="751"/>
      <c r="F45" s="751"/>
      <c r="G45" s="751">
        <f t="shared" si="2"/>
        <v>0</v>
      </c>
      <c r="H45" s="751"/>
      <c r="I45" s="751">
        <f t="shared" si="3"/>
        <v>0</v>
      </c>
      <c r="J45" s="751">
        <f t="shared" si="3"/>
        <v>0</v>
      </c>
      <c r="K45" s="751">
        <f t="shared" si="3"/>
        <v>0</v>
      </c>
      <c r="L45" s="751"/>
      <c r="M45" s="743"/>
      <c r="N45" s="743"/>
      <c r="O45" s="743"/>
      <c r="P45" s="751"/>
      <c r="Q45" s="743"/>
      <c r="R45" s="743"/>
      <c r="S45" s="743"/>
    </row>
    <row r="46" spans="1:19" hidden="1">
      <c r="A46" s="765">
        <f t="shared" si="4"/>
        <v>2.2999999999999936</v>
      </c>
      <c r="B46" s="743"/>
      <c r="C46" s="751">
        <f t="shared" si="0"/>
        <v>0</v>
      </c>
      <c r="D46" s="751">
        <f t="shared" si="1"/>
        <v>0</v>
      </c>
      <c r="E46" s="751"/>
      <c r="F46" s="751"/>
      <c r="G46" s="751">
        <f t="shared" si="2"/>
        <v>0</v>
      </c>
      <c r="H46" s="751"/>
      <c r="I46" s="751">
        <f t="shared" si="3"/>
        <v>0</v>
      </c>
      <c r="J46" s="751">
        <f t="shared" si="3"/>
        <v>0</v>
      </c>
      <c r="K46" s="751">
        <f t="shared" si="3"/>
        <v>0</v>
      </c>
      <c r="L46" s="751"/>
      <c r="M46" s="743"/>
      <c r="N46" s="743"/>
      <c r="O46" s="743"/>
      <c r="P46" s="751"/>
      <c r="Q46" s="743"/>
      <c r="R46" s="743"/>
      <c r="S46" s="743"/>
    </row>
    <row r="47" spans="1:19" hidden="1">
      <c r="A47" s="765">
        <f t="shared" si="4"/>
        <v>2.3099999999999934</v>
      </c>
      <c r="B47" s="743"/>
      <c r="C47" s="751">
        <f t="shared" si="0"/>
        <v>0</v>
      </c>
      <c r="D47" s="751">
        <f t="shared" si="1"/>
        <v>0</v>
      </c>
      <c r="E47" s="751"/>
      <c r="F47" s="751"/>
      <c r="G47" s="751">
        <f t="shared" si="2"/>
        <v>0</v>
      </c>
      <c r="H47" s="751"/>
      <c r="I47" s="751">
        <f t="shared" si="3"/>
        <v>0</v>
      </c>
      <c r="J47" s="751">
        <f t="shared" si="3"/>
        <v>0</v>
      </c>
      <c r="K47" s="751">
        <f t="shared" si="3"/>
        <v>0</v>
      </c>
      <c r="L47" s="751"/>
      <c r="M47" s="743"/>
      <c r="N47" s="743"/>
      <c r="O47" s="743"/>
      <c r="P47" s="751"/>
      <c r="Q47" s="743"/>
      <c r="R47" s="743"/>
      <c r="S47" s="743"/>
    </row>
    <row r="48" spans="1:19" hidden="1">
      <c r="A48" s="765">
        <f t="shared" si="4"/>
        <v>2.3199999999999932</v>
      </c>
      <c r="B48" s="743"/>
      <c r="C48" s="751">
        <f t="shared" si="0"/>
        <v>0</v>
      </c>
      <c r="D48" s="751">
        <f t="shared" si="1"/>
        <v>0</v>
      </c>
      <c r="E48" s="751"/>
      <c r="F48" s="751"/>
      <c r="G48" s="751">
        <f t="shared" si="2"/>
        <v>0</v>
      </c>
      <c r="H48" s="751"/>
      <c r="I48" s="751">
        <f t="shared" si="3"/>
        <v>0</v>
      </c>
      <c r="J48" s="751">
        <f t="shared" si="3"/>
        <v>0</v>
      </c>
      <c r="K48" s="751">
        <f t="shared" si="3"/>
        <v>0</v>
      </c>
      <c r="L48" s="751"/>
      <c r="M48" s="743"/>
      <c r="N48" s="743"/>
      <c r="O48" s="743"/>
      <c r="P48" s="751"/>
      <c r="Q48" s="743"/>
      <c r="R48" s="743"/>
      <c r="S48" s="743"/>
    </row>
    <row r="49" spans="1:19" hidden="1">
      <c r="A49" s="765">
        <f t="shared" si="4"/>
        <v>2.329999999999993</v>
      </c>
      <c r="B49" s="743"/>
      <c r="C49" s="751">
        <f t="shared" si="0"/>
        <v>0</v>
      </c>
      <c r="D49" s="751">
        <f t="shared" si="1"/>
        <v>0</v>
      </c>
      <c r="E49" s="751"/>
      <c r="F49" s="751"/>
      <c r="G49" s="751">
        <f t="shared" si="2"/>
        <v>0</v>
      </c>
      <c r="H49" s="751"/>
      <c r="I49" s="751">
        <f t="shared" ref="I49:K80" si="5">(M49+Q49)/2</f>
        <v>0</v>
      </c>
      <c r="J49" s="751">
        <f t="shared" si="5"/>
        <v>0</v>
      </c>
      <c r="K49" s="751">
        <f t="shared" si="5"/>
        <v>0</v>
      </c>
      <c r="L49" s="751"/>
      <c r="M49" s="743"/>
      <c r="N49" s="743"/>
      <c r="O49" s="743"/>
      <c r="P49" s="751"/>
      <c r="Q49" s="743"/>
      <c r="R49" s="743"/>
      <c r="S49" s="743"/>
    </row>
    <row r="50" spans="1:19" hidden="1">
      <c r="A50" s="765">
        <f t="shared" si="4"/>
        <v>2.3399999999999928</v>
      </c>
      <c r="B50" s="743"/>
      <c r="C50" s="751">
        <f t="shared" si="0"/>
        <v>0</v>
      </c>
      <c r="D50" s="751">
        <f t="shared" si="1"/>
        <v>0</v>
      </c>
      <c r="E50" s="751"/>
      <c r="F50" s="751"/>
      <c r="G50" s="751">
        <f t="shared" si="2"/>
        <v>0</v>
      </c>
      <c r="H50" s="751"/>
      <c r="I50" s="751">
        <f t="shared" si="5"/>
        <v>0</v>
      </c>
      <c r="J50" s="751">
        <f t="shared" si="5"/>
        <v>0</v>
      </c>
      <c r="K50" s="751">
        <f t="shared" si="5"/>
        <v>0</v>
      </c>
      <c r="L50" s="751"/>
      <c r="M50" s="743"/>
      <c r="N50" s="743"/>
      <c r="O50" s="743"/>
      <c r="P50" s="751"/>
      <c r="Q50" s="743"/>
      <c r="R50" s="743"/>
      <c r="S50" s="743"/>
    </row>
    <row r="51" spans="1:19" hidden="1">
      <c r="A51" s="765">
        <f t="shared" si="4"/>
        <v>2.3499999999999925</v>
      </c>
      <c r="B51" s="743"/>
      <c r="C51" s="751">
        <f t="shared" si="0"/>
        <v>0</v>
      </c>
      <c r="D51" s="751">
        <f t="shared" si="1"/>
        <v>0</v>
      </c>
      <c r="E51" s="751"/>
      <c r="F51" s="751"/>
      <c r="G51" s="751">
        <f t="shared" si="2"/>
        <v>0</v>
      </c>
      <c r="H51" s="751"/>
      <c r="I51" s="751">
        <f t="shared" si="5"/>
        <v>0</v>
      </c>
      <c r="J51" s="751">
        <f t="shared" si="5"/>
        <v>0</v>
      </c>
      <c r="K51" s="751">
        <f t="shared" si="5"/>
        <v>0</v>
      </c>
      <c r="L51" s="751"/>
      <c r="M51" s="743"/>
      <c r="N51" s="743"/>
      <c r="O51" s="743"/>
      <c r="P51" s="751"/>
      <c r="Q51" s="743"/>
      <c r="R51" s="743"/>
      <c r="S51" s="743"/>
    </row>
    <row r="52" spans="1:19" hidden="1">
      <c r="A52" s="765">
        <f t="shared" si="4"/>
        <v>2.3599999999999923</v>
      </c>
      <c r="B52" s="743"/>
      <c r="C52" s="751">
        <f t="shared" si="0"/>
        <v>0</v>
      </c>
      <c r="D52" s="751">
        <f t="shared" si="1"/>
        <v>0</v>
      </c>
      <c r="E52" s="751"/>
      <c r="F52" s="751"/>
      <c r="G52" s="751">
        <f t="shared" si="2"/>
        <v>0</v>
      </c>
      <c r="H52" s="751"/>
      <c r="I52" s="751">
        <f t="shared" si="5"/>
        <v>0</v>
      </c>
      <c r="J52" s="751">
        <f t="shared" si="5"/>
        <v>0</v>
      </c>
      <c r="K52" s="751">
        <f t="shared" si="5"/>
        <v>0</v>
      </c>
      <c r="L52" s="751"/>
      <c r="M52" s="743"/>
      <c r="N52" s="743"/>
      <c r="O52" s="743"/>
      <c r="P52" s="751"/>
      <c r="Q52" s="743"/>
      <c r="R52" s="743"/>
      <c r="S52" s="743"/>
    </row>
    <row r="53" spans="1:19" hidden="1">
      <c r="A53" s="765">
        <f t="shared" si="4"/>
        <v>2.3699999999999921</v>
      </c>
      <c r="B53" s="743"/>
      <c r="C53" s="751">
        <f t="shared" si="0"/>
        <v>0</v>
      </c>
      <c r="D53" s="751">
        <f t="shared" si="1"/>
        <v>0</v>
      </c>
      <c r="E53" s="751"/>
      <c r="F53" s="751"/>
      <c r="G53" s="751">
        <f t="shared" si="2"/>
        <v>0</v>
      </c>
      <c r="H53" s="751"/>
      <c r="I53" s="751">
        <f t="shared" si="5"/>
        <v>0</v>
      </c>
      <c r="J53" s="751">
        <f t="shared" si="5"/>
        <v>0</v>
      </c>
      <c r="K53" s="751">
        <f t="shared" si="5"/>
        <v>0</v>
      </c>
      <c r="L53" s="751"/>
      <c r="M53" s="743"/>
      <c r="N53" s="743"/>
      <c r="O53" s="743"/>
      <c r="P53" s="751"/>
      <c r="Q53" s="743"/>
      <c r="R53" s="743"/>
      <c r="S53" s="743"/>
    </row>
    <row r="54" spans="1:19" hidden="1">
      <c r="A54" s="765">
        <f t="shared" si="4"/>
        <v>2.3799999999999919</v>
      </c>
      <c r="B54" s="743"/>
      <c r="C54" s="751">
        <f t="shared" si="0"/>
        <v>0</v>
      </c>
      <c r="D54" s="751">
        <f t="shared" si="1"/>
        <v>0</v>
      </c>
      <c r="E54" s="751"/>
      <c r="F54" s="751"/>
      <c r="G54" s="751">
        <f t="shared" si="2"/>
        <v>0</v>
      </c>
      <c r="H54" s="751"/>
      <c r="I54" s="751">
        <f t="shared" si="5"/>
        <v>0</v>
      </c>
      <c r="J54" s="751">
        <f t="shared" si="5"/>
        <v>0</v>
      </c>
      <c r="K54" s="751">
        <f t="shared" si="5"/>
        <v>0</v>
      </c>
      <c r="L54" s="751"/>
      <c r="M54" s="743"/>
      <c r="N54" s="743"/>
      <c r="O54" s="743"/>
      <c r="P54" s="751"/>
      <c r="Q54" s="743"/>
      <c r="R54" s="743"/>
      <c r="S54" s="743"/>
    </row>
    <row r="55" spans="1:19" hidden="1">
      <c r="A55" s="765">
        <f t="shared" si="4"/>
        <v>2.3899999999999917</v>
      </c>
      <c r="B55" s="743"/>
      <c r="C55" s="751">
        <f t="shared" si="0"/>
        <v>0</v>
      </c>
      <c r="D55" s="751">
        <f t="shared" si="1"/>
        <v>0</v>
      </c>
      <c r="E55" s="751"/>
      <c r="F55" s="751"/>
      <c r="G55" s="751">
        <f t="shared" si="2"/>
        <v>0</v>
      </c>
      <c r="H55" s="751"/>
      <c r="I55" s="751">
        <f t="shared" si="5"/>
        <v>0</v>
      </c>
      <c r="J55" s="751">
        <f t="shared" si="5"/>
        <v>0</v>
      </c>
      <c r="K55" s="751">
        <f t="shared" si="5"/>
        <v>0</v>
      </c>
      <c r="L55" s="751"/>
      <c r="M55" s="743"/>
      <c r="N55" s="743"/>
      <c r="O55" s="743"/>
      <c r="P55" s="751"/>
      <c r="Q55" s="743"/>
      <c r="R55" s="743"/>
      <c r="S55" s="743"/>
    </row>
    <row r="56" spans="1:19" hidden="1">
      <c r="A56" s="765">
        <f t="shared" si="4"/>
        <v>2.3999999999999915</v>
      </c>
      <c r="B56" s="743"/>
      <c r="C56" s="751">
        <f t="shared" si="0"/>
        <v>0</v>
      </c>
      <c r="D56" s="751">
        <f t="shared" si="1"/>
        <v>0</v>
      </c>
      <c r="E56" s="751"/>
      <c r="F56" s="751"/>
      <c r="G56" s="751">
        <f t="shared" si="2"/>
        <v>0</v>
      </c>
      <c r="H56" s="751"/>
      <c r="I56" s="751">
        <f t="shared" si="5"/>
        <v>0</v>
      </c>
      <c r="J56" s="751">
        <f t="shared" si="5"/>
        <v>0</v>
      </c>
      <c r="K56" s="751">
        <f t="shared" si="5"/>
        <v>0</v>
      </c>
      <c r="L56" s="751"/>
      <c r="M56" s="743"/>
      <c r="N56" s="743"/>
      <c r="O56" s="743"/>
      <c r="P56" s="751"/>
      <c r="Q56" s="743"/>
      <c r="R56" s="743"/>
      <c r="S56" s="743"/>
    </row>
    <row r="57" spans="1:19" hidden="1">
      <c r="A57" s="765">
        <f t="shared" si="4"/>
        <v>2.4099999999999913</v>
      </c>
      <c r="B57" s="743"/>
      <c r="C57" s="751">
        <f t="shared" si="0"/>
        <v>0</v>
      </c>
      <c r="D57" s="751">
        <f t="shared" si="1"/>
        <v>0</v>
      </c>
      <c r="E57" s="751"/>
      <c r="F57" s="751"/>
      <c r="G57" s="751">
        <f t="shared" si="2"/>
        <v>0</v>
      </c>
      <c r="H57" s="751"/>
      <c r="I57" s="751">
        <f t="shared" si="5"/>
        <v>0</v>
      </c>
      <c r="J57" s="751">
        <f t="shared" si="5"/>
        <v>0</v>
      </c>
      <c r="K57" s="751">
        <f t="shared" si="5"/>
        <v>0</v>
      </c>
      <c r="L57" s="751"/>
      <c r="M57" s="743"/>
      <c r="N57" s="743"/>
      <c r="O57" s="743"/>
      <c r="P57" s="751"/>
      <c r="Q57" s="743"/>
      <c r="R57" s="743"/>
      <c r="S57" s="743"/>
    </row>
    <row r="58" spans="1:19" hidden="1">
      <c r="A58" s="765">
        <f t="shared" si="4"/>
        <v>2.419999999999991</v>
      </c>
      <c r="B58" s="743"/>
      <c r="C58" s="751">
        <f t="shared" si="0"/>
        <v>0</v>
      </c>
      <c r="D58" s="751">
        <f t="shared" si="1"/>
        <v>0</v>
      </c>
      <c r="E58" s="751"/>
      <c r="F58" s="751"/>
      <c r="G58" s="751">
        <f t="shared" si="2"/>
        <v>0</v>
      </c>
      <c r="H58" s="751"/>
      <c r="I58" s="751">
        <f t="shared" si="5"/>
        <v>0</v>
      </c>
      <c r="J58" s="751">
        <f t="shared" si="5"/>
        <v>0</v>
      </c>
      <c r="K58" s="751">
        <f t="shared" si="5"/>
        <v>0</v>
      </c>
      <c r="L58" s="751"/>
      <c r="M58" s="743"/>
      <c r="N58" s="743"/>
      <c r="O58" s="743"/>
      <c r="P58" s="751"/>
      <c r="Q58" s="743"/>
      <c r="R58" s="743"/>
      <c r="S58" s="743"/>
    </row>
    <row r="59" spans="1:19" hidden="1">
      <c r="A59" s="765">
        <f t="shared" si="4"/>
        <v>2.4299999999999908</v>
      </c>
      <c r="B59" s="743"/>
      <c r="C59" s="751">
        <f t="shared" si="0"/>
        <v>0</v>
      </c>
      <c r="D59" s="751">
        <f t="shared" si="1"/>
        <v>0</v>
      </c>
      <c r="E59" s="751"/>
      <c r="F59" s="751"/>
      <c r="G59" s="751">
        <f t="shared" si="2"/>
        <v>0</v>
      </c>
      <c r="H59" s="751"/>
      <c r="I59" s="751">
        <f t="shared" si="5"/>
        <v>0</v>
      </c>
      <c r="J59" s="751">
        <f t="shared" si="5"/>
        <v>0</v>
      </c>
      <c r="K59" s="751">
        <f t="shared" si="5"/>
        <v>0</v>
      </c>
      <c r="L59" s="751"/>
      <c r="M59" s="743"/>
      <c r="N59" s="743"/>
      <c r="O59" s="743"/>
      <c r="P59" s="751"/>
      <c r="Q59" s="743"/>
      <c r="R59" s="743"/>
      <c r="S59" s="743"/>
    </row>
    <row r="60" spans="1:19" hidden="1">
      <c r="A60" s="765">
        <f t="shared" si="4"/>
        <v>2.4399999999999906</v>
      </c>
      <c r="B60" s="743"/>
      <c r="C60" s="751">
        <f t="shared" si="0"/>
        <v>0</v>
      </c>
      <c r="D60" s="751">
        <f t="shared" si="1"/>
        <v>0</v>
      </c>
      <c r="E60" s="751"/>
      <c r="F60" s="751"/>
      <c r="G60" s="751">
        <f t="shared" si="2"/>
        <v>0</v>
      </c>
      <c r="H60" s="751"/>
      <c r="I60" s="751">
        <f t="shared" si="5"/>
        <v>0</v>
      </c>
      <c r="J60" s="751">
        <f t="shared" si="5"/>
        <v>0</v>
      </c>
      <c r="K60" s="751">
        <f t="shared" si="5"/>
        <v>0</v>
      </c>
      <c r="L60" s="751"/>
      <c r="M60" s="743"/>
      <c r="N60" s="743"/>
      <c r="O60" s="743"/>
      <c r="P60" s="751"/>
      <c r="Q60" s="743"/>
      <c r="R60" s="743"/>
      <c r="S60" s="743"/>
    </row>
    <row r="61" spans="1:19" hidden="1">
      <c r="A61" s="765">
        <f t="shared" si="4"/>
        <v>2.4499999999999904</v>
      </c>
      <c r="B61" s="743"/>
      <c r="C61" s="751">
        <f t="shared" si="0"/>
        <v>0</v>
      </c>
      <c r="D61" s="751">
        <f t="shared" si="1"/>
        <v>0</v>
      </c>
      <c r="E61" s="751"/>
      <c r="F61" s="751"/>
      <c r="G61" s="751">
        <f t="shared" si="2"/>
        <v>0</v>
      </c>
      <c r="H61" s="751"/>
      <c r="I61" s="751">
        <f t="shared" si="5"/>
        <v>0</v>
      </c>
      <c r="J61" s="751">
        <f t="shared" si="5"/>
        <v>0</v>
      </c>
      <c r="K61" s="751">
        <f t="shared" si="5"/>
        <v>0</v>
      </c>
      <c r="L61" s="751"/>
      <c r="M61" s="743"/>
      <c r="N61" s="743"/>
      <c r="O61" s="743"/>
      <c r="P61" s="751"/>
      <c r="Q61" s="743"/>
      <c r="R61" s="743"/>
      <c r="S61" s="743"/>
    </row>
    <row r="62" spans="1:19" hidden="1">
      <c r="A62" s="765">
        <f t="shared" si="4"/>
        <v>2.4599999999999902</v>
      </c>
      <c r="B62" s="743"/>
      <c r="C62" s="751">
        <f t="shared" si="0"/>
        <v>0</v>
      </c>
      <c r="D62" s="751">
        <f t="shared" si="1"/>
        <v>0</v>
      </c>
      <c r="E62" s="751"/>
      <c r="F62" s="751"/>
      <c r="G62" s="751">
        <f t="shared" si="2"/>
        <v>0</v>
      </c>
      <c r="H62" s="751"/>
      <c r="I62" s="751">
        <f t="shared" si="5"/>
        <v>0</v>
      </c>
      <c r="J62" s="751">
        <f t="shared" si="5"/>
        <v>0</v>
      </c>
      <c r="K62" s="751">
        <f t="shared" si="5"/>
        <v>0</v>
      </c>
      <c r="L62" s="751"/>
      <c r="M62" s="743"/>
      <c r="N62" s="743"/>
      <c r="O62" s="743"/>
      <c r="P62" s="751"/>
      <c r="Q62" s="743"/>
      <c r="R62" s="743"/>
      <c r="S62" s="743"/>
    </row>
    <row r="63" spans="1:19" hidden="1">
      <c r="A63" s="765">
        <f t="shared" si="4"/>
        <v>2.46999999999999</v>
      </c>
      <c r="B63" s="743"/>
      <c r="C63" s="751">
        <f t="shared" si="0"/>
        <v>0</v>
      </c>
      <c r="D63" s="751">
        <f t="shared" si="1"/>
        <v>0</v>
      </c>
      <c r="E63" s="751"/>
      <c r="F63" s="751"/>
      <c r="G63" s="751">
        <f t="shared" si="2"/>
        <v>0</v>
      </c>
      <c r="H63" s="751"/>
      <c r="I63" s="751">
        <f t="shared" si="5"/>
        <v>0</v>
      </c>
      <c r="J63" s="751">
        <f t="shared" si="5"/>
        <v>0</v>
      </c>
      <c r="K63" s="751">
        <f t="shared" si="5"/>
        <v>0</v>
      </c>
      <c r="L63" s="751"/>
      <c r="M63" s="743"/>
      <c r="N63" s="743"/>
      <c r="O63" s="743"/>
      <c r="P63" s="751"/>
      <c r="Q63" s="743"/>
      <c r="R63" s="743"/>
      <c r="S63" s="743"/>
    </row>
    <row r="64" spans="1:19" hidden="1">
      <c r="A64" s="765">
        <f t="shared" si="4"/>
        <v>2.4799999999999898</v>
      </c>
      <c r="B64" s="743"/>
      <c r="C64" s="751">
        <f t="shared" si="0"/>
        <v>0</v>
      </c>
      <c r="D64" s="751">
        <f t="shared" si="1"/>
        <v>0</v>
      </c>
      <c r="E64" s="751"/>
      <c r="F64" s="751"/>
      <c r="G64" s="751">
        <f t="shared" si="2"/>
        <v>0</v>
      </c>
      <c r="H64" s="751"/>
      <c r="I64" s="751">
        <f t="shared" si="5"/>
        <v>0</v>
      </c>
      <c r="J64" s="751">
        <f t="shared" si="5"/>
        <v>0</v>
      </c>
      <c r="K64" s="751">
        <f t="shared" si="5"/>
        <v>0</v>
      </c>
      <c r="L64" s="751"/>
      <c r="M64" s="743"/>
      <c r="N64" s="743"/>
      <c r="O64" s="743"/>
      <c r="P64" s="751"/>
      <c r="Q64" s="743"/>
      <c r="R64" s="743"/>
      <c r="S64" s="743"/>
    </row>
    <row r="65" spans="1:19" hidden="1">
      <c r="A65" s="765">
        <f t="shared" si="4"/>
        <v>2.4899999999999896</v>
      </c>
      <c r="B65" s="743"/>
      <c r="C65" s="751">
        <f t="shared" si="0"/>
        <v>0</v>
      </c>
      <c r="D65" s="751">
        <f t="shared" si="1"/>
        <v>0</v>
      </c>
      <c r="E65" s="751"/>
      <c r="F65" s="751"/>
      <c r="G65" s="751">
        <f t="shared" si="2"/>
        <v>0</v>
      </c>
      <c r="H65" s="751"/>
      <c r="I65" s="751">
        <f t="shared" si="5"/>
        <v>0</v>
      </c>
      <c r="J65" s="751">
        <f t="shared" si="5"/>
        <v>0</v>
      </c>
      <c r="K65" s="751">
        <f t="shared" si="5"/>
        <v>0</v>
      </c>
      <c r="L65" s="751"/>
      <c r="M65" s="743"/>
      <c r="N65" s="743"/>
      <c r="O65" s="743"/>
      <c r="P65" s="751"/>
      <c r="Q65" s="743"/>
      <c r="R65" s="743"/>
      <c r="S65" s="743"/>
    </row>
    <row r="66" spans="1:19" hidden="1">
      <c r="A66" s="765">
        <f t="shared" si="4"/>
        <v>2.4999999999999893</v>
      </c>
      <c r="B66" s="743"/>
      <c r="C66" s="751">
        <f t="shared" si="0"/>
        <v>0</v>
      </c>
      <c r="D66" s="751">
        <f t="shared" si="1"/>
        <v>0</v>
      </c>
      <c r="E66" s="751"/>
      <c r="F66" s="751"/>
      <c r="G66" s="751">
        <f t="shared" si="2"/>
        <v>0</v>
      </c>
      <c r="H66" s="751"/>
      <c r="I66" s="751">
        <f t="shared" si="5"/>
        <v>0</v>
      </c>
      <c r="J66" s="751">
        <f t="shared" si="5"/>
        <v>0</v>
      </c>
      <c r="K66" s="751">
        <f t="shared" si="5"/>
        <v>0</v>
      </c>
      <c r="L66" s="751"/>
      <c r="M66" s="743"/>
      <c r="N66" s="743"/>
      <c r="O66" s="743"/>
      <c r="P66" s="751"/>
      <c r="Q66" s="743"/>
      <c r="R66" s="743"/>
      <c r="S66" s="743"/>
    </row>
    <row r="67" spans="1:19" hidden="1">
      <c r="A67" s="765">
        <f t="shared" si="4"/>
        <v>2.5099999999999891</v>
      </c>
      <c r="B67" s="743"/>
      <c r="C67" s="751">
        <f t="shared" si="0"/>
        <v>0</v>
      </c>
      <c r="D67" s="751">
        <f t="shared" si="1"/>
        <v>0</v>
      </c>
      <c r="E67" s="751"/>
      <c r="F67" s="751"/>
      <c r="G67" s="751">
        <f t="shared" si="2"/>
        <v>0</v>
      </c>
      <c r="H67" s="751"/>
      <c r="I67" s="751">
        <f t="shared" si="5"/>
        <v>0</v>
      </c>
      <c r="J67" s="751">
        <f t="shared" si="5"/>
        <v>0</v>
      </c>
      <c r="K67" s="751">
        <f t="shared" si="5"/>
        <v>0</v>
      </c>
      <c r="L67" s="751"/>
      <c r="M67" s="743"/>
      <c r="N67" s="743"/>
      <c r="O67" s="743"/>
      <c r="P67" s="751"/>
      <c r="Q67" s="743"/>
      <c r="R67" s="743"/>
      <c r="S67" s="743"/>
    </row>
    <row r="68" spans="1:19" hidden="1">
      <c r="A68" s="765">
        <f t="shared" si="4"/>
        <v>2.5199999999999889</v>
      </c>
      <c r="B68" s="743"/>
      <c r="C68" s="751">
        <f t="shared" si="0"/>
        <v>0</v>
      </c>
      <c r="D68" s="751">
        <f t="shared" si="1"/>
        <v>0</v>
      </c>
      <c r="E68" s="751"/>
      <c r="F68" s="751"/>
      <c r="G68" s="751">
        <f t="shared" si="2"/>
        <v>0</v>
      </c>
      <c r="H68" s="751"/>
      <c r="I68" s="751">
        <f t="shared" si="5"/>
        <v>0</v>
      </c>
      <c r="J68" s="751">
        <f t="shared" si="5"/>
        <v>0</v>
      </c>
      <c r="K68" s="751">
        <f t="shared" si="5"/>
        <v>0</v>
      </c>
      <c r="L68" s="751"/>
      <c r="M68" s="743"/>
      <c r="N68" s="743"/>
      <c r="O68" s="743"/>
      <c r="P68" s="751"/>
      <c r="Q68" s="743"/>
      <c r="R68" s="743"/>
      <c r="S68" s="743"/>
    </row>
    <row r="69" spans="1:19" hidden="1">
      <c r="A69" s="765">
        <f t="shared" si="4"/>
        <v>2.5299999999999887</v>
      </c>
      <c r="B69" s="743"/>
      <c r="C69" s="751">
        <f t="shared" si="0"/>
        <v>0</v>
      </c>
      <c r="D69" s="751">
        <f t="shared" si="1"/>
        <v>0</v>
      </c>
      <c r="E69" s="751"/>
      <c r="F69" s="751"/>
      <c r="G69" s="751">
        <f t="shared" si="2"/>
        <v>0</v>
      </c>
      <c r="H69" s="751"/>
      <c r="I69" s="751">
        <f t="shared" si="5"/>
        <v>0</v>
      </c>
      <c r="J69" s="751">
        <f t="shared" si="5"/>
        <v>0</v>
      </c>
      <c r="K69" s="751">
        <f t="shared" si="5"/>
        <v>0</v>
      </c>
      <c r="L69" s="751"/>
      <c r="M69" s="743"/>
      <c r="N69" s="743"/>
      <c r="O69" s="743"/>
      <c r="P69" s="751"/>
      <c r="Q69" s="743"/>
      <c r="R69" s="743"/>
      <c r="S69" s="743"/>
    </row>
    <row r="70" spans="1:19" hidden="1">
      <c r="A70" s="765">
        <f t="shared" si="4"/>
        <v>2.5399999999999885</v>
      </c>
      <c r="B70" s="743"/>
      <c r="C70" s="751">
        <f t="shared" si="0"/>
        <v>0</v>
      </c>
      <c r="D70" s="751">
        <f t="shared" si="1"/>
        <v>0</v>
      </c>
      <c r="E70" s="751"/>
      <c r="F70" s="751"/>
      <c r="G70" s="751">
        <f t="shared" si="2"/>
        <v>0</v>
      </c>
      <c r="H70" s="751"/>
      <c r="I70" s="751">
        <f t="shared" si="5"/>
        <v>0</v>
      </c>
      <c r="J70" s="751">
        <f t="shared" si="5"/>
        <v>0</v>
      </c>
      <c r="K70" s="751">
        <f t="shared" si="5"/>
        <v>0</v>
      </c>
      <c r="L70" s="751"/>
      <c r="M70" s="743"/>
      <c r="N70" s="743"/>
      <c r="O70" s="743"/>
      <c r="P70" s="751"/>
      <c r="Q70" s="743"/>
      <c r="R70" s="743"/>
      <c r="S70" s="743"/>
    </row>
    <row r="71" spans="1:19" hidden="1">
      <c r="A71" s="765">
        <f t="shared" si="4"/>
        <v>2.5499999999999883</v>
      </c>
      <c r="B71" s="743"/>
      <c r="C71" s="751">
        <f t="shared" si="0"/>
        <v>0</v>
      </c>
      <c r="D71" s="751">
        <f t="shared" si="1"/>
        <v>0</v>
      </c>
      <c r="E71" s="751"/>
      <c r="F71" s="751"/>
      <c r="G71" s="751">
        <f t="shared" si="2"/>
        <v>0</v>
      </c>
      <c r="H71" s="751"/>
      <c r="I71" s="751">
        <f t="shared" si="5"/>
        <v>0</v>
      </c>
      <c r="J71" s="751">
        <f t="shared" si="5"/>
        <v>0</v>
      </c>
      <c r="K71" s="751">
        <f t="shared" si="5"/>
        <v>0</v>
      </c>
      <c r="L71" s="751"/>
      <c r="M71" s="743"/>
      <c r="N71" s="743"/>
      <c r="O71" s="743"/>
      <c r="P71" s="751"/>
      <c r="Q71" s="743"/>
      <c r="R71" s="743"/>
      <c r="S71" s="743"/>
    </row>
    <row r="72" spans="1:19" hidden="1">
      <c r="A72" s="765">
        <f t="shared" si="4"/>
        <v>2.5599999999999881</v>
      </c>
      <c r="B72" s="743"/>
      <c r="C72" s="751">
        <f t="shared" si="0"/>
        <v>0</v>
      </c>
      <c r="D72" s="751">
        <f t="shared" si="1"/>
        <v>0</v>
      </c>
      <c r="E72" s="751"/>
      <c r="F72" s="751"/>
      <c r="G72" s="751">
        <f t="shared" si="2"/>
        <v>0</v>
      </c>
      <c r="H72" s="751"/>
      <c r="I72" s="751">
        <f t="shared" si="5"/>
        <v>0</v>
      </c>
      <c r="J72" s="751">
        <f t="shared" si="5"/>
        <v>0</v>
      </c>
      <c r="K72" s="751">
        <f t="shared" si="5"/>
        <v>0</v>
      </c>
      <c r="L72" s="751"/>
      <c r="M72" s="743"/>
      <c r="N72" s="743"/>
      <c r="O72" s="743"/>
      <c r="P72" s="751"/>
      <c r="Q72" s="743"/>
      <c r="R72" s="743"/>
      <c r="S72" s="743"/>
    </row>
    <row r="73" spans="1:19" hidden="1">
      <c r="A73" s="765">
        <f t="shared" si="4"/>
        <v>2.5699999999999878</v>
      </c>
      <c r="B73" s="743"/>
      <c r="C73" s="751">
        <f t="shared" si="0"/>
        <v>0</v>
      </c>
      <c r="D73" s="751">
        <f t="shared" si="1"/>
        <v>0</v>
      </c>
      <c r="E73" s="751"/>
      <c r="F73" s="751"/>
      <c r="G73" s="751">
        <f t="shared" si="2"/>
        <v>0</v>
      </c>
      <c r="H73" s="751"/>
      <c r="I73" s="751">
        <f t="shared" si="5"/>
        <v>0</v>
      </c>
      <c r="J73" s="751">
        <f t="shared" si="5"/>
        <v>0</v>
      </c>
      <c r="K73" s="751">
        <f t="shared" si="5"/>
        <v>0</v>
      </c>
      <c r="L73" s="751"/>
      <c r="M73" s="743"/>
      <c r="N73" s="743"/>
      <c r="O73" s="743"/>
      <c r="P73" s="751"/>
      <c r="Q73" s="743"/>
      <c r="R73" s="743"/>
      <c r="S73" s="743"/>
    </row>
    <row r="74" spans="1:19" hidden="1">
      <c r="A74" s="765">
        <f t="shared" si="4"/>
        <v>2.5799999999999876</v>
      </c>
      <c r="B74" s="743"/>
      <c r="C74" s="751">
        <f t="shared" si="0"/>
        <v>0</v>
      </c>
      <c r="D74" s="751">
        <f t="shared" si="1"/>
        <v>0</v>
      </c>
      <c r="E74" s="751"/>
      <c r="F74" s="751"/>
      <c r="G74" s="751">
        <f t="shared" si="2"/>
        <v>0</v>
      </c>
      <c r="H74" s="751"/>
      <c r="I74" s="751">
        <f t="shared" si="5"/>
        <v>0</v>
      </c>
      <c r="J74" s="751">
        <f t="shared" si="5"/>
        <v>0</v>
      </c>
      <c r="K74" s="751">
        <f t="shared" si="5"/>
        <v>0</v>
      </c>
      <c r="L74" s="751"/>
      <c r="M74" s="743"/>
      <c r="N74" s="743"/>
      <c r="O74" s="743"/>
      <c r="P74" s="751"/>
      <c r="Q74" s="743"/>
      <c r="R74" s="743"/>
      <c r="S74" s="743"/>
    </row>
    <row r="75" spans="1:19" hidden="1">
      <c r="A75" s="765">
        <f t="shared" si="4"/>
        <v>2.5899999999999874</v>
      </c>
      <c r="B75" s="743"/>
      <c r="C75" s="751">
        <f t="shared" si="0"/>
        <v>0</v>
      </c>
      <c r="D75" s="751">
        <f t="shared" si="1"/>
        <v>0</v>
      </c>
      <c r="E75" s="751"/>
      <c r="F75" s="751"/>
      <c r="G75" s="751">
        <f t="shared" si="2"/>
        <v>0</v>
      </c>
      <c r="H75" s="751"/>
      <c r="I75" s="751">
        <f t="shared" si="5"/>
        <v>0</v>
      </c>
      <c r="J75" s="751">
        <f t="shared" si="5"/>
        <v>0</v>
      </c>
      <c r="K75" s="751">
        <f t="shared" si="5"/>
        <v>0</v>
      </c>
      <c r="L75" s="751"/>
      <c r="M75" s="743"/>
      <c r="N75" s="743"/>
      <c r="O75" s="743"/>
      <c r="P75" s="751"/>
      <c r="Q75" s="743"/>
      <c r="R75" s="743"/>
      <c r="S75" s="743"/>
    </row>
    <row r="76" spans="1:19" hidden="1">
      <c r="A76" s="765">
        <f t="shared" si="4"/>
        <v>2.5999999999999872</v>
      </c>
      <c r="B76" s="743"/>
      <c r="C76" s="751">
        <f t="shared" si="0"/>
        <v>0</v>
      </c>
      <c r="D76" s="751">
        <f t="shared" si="1"/>
        <v>0</v>
      </c>
      <c r="E76" s="751"/>
      <c r="F76" s="751"/>
      <c r="G76" s="751">
        <f t="shared" si="2"/>
        <v>0</v>
      </c>
      <c r="H76" s="751"/>
      <c r="I76" s="751">
        <f t="shared" si="5"/>
        <v>0</v>
      </c>
      <c r="J76" s="751">
        <f t="shared" si="5"/>
        <v>0</v>
      </c>
      <c r="K76" s="751">
        <f t="shared" si="5"/>
        <v>0</v>
      </c>
      <c r="L76" s="751"/>
      <c r="M76" s="743"/>
      <c r="N76" s="743"/>
      <c r="O76" s="743"/>
      <c r="P76" s="751"/>
      <c r="Q76" s="743"/>
      <c r="R76" s="743"/>
      <c r="S76" s="743"/>
    </row>
    <row r="77" spans="1:19" hidden="1">
      <c r="A77" s="765">
        <f t="shared" si="4"/>
        <v>2.609999999999987</v>
      </c>
      <c r="B77" s="743"/>
      <c r="C77" s="755">
        <f t="shared" si="0"/>
        <v>0</v>
      </c>
      <c r="D77" s="755">
        <f t="shared" si="1"/>
        <v>0</v>
      </c>
      <c r="E77" s="755"/>
      <c r="F77" s="755"/>
      <c r="G77" s="755">
        <f t="shared" si="2"/>
        <v>0</v>
      </c>
      <c r="H77" s="755"/>
      <c r="I77" s="755">
        <f t="shared" si="5"/>
        <v>0</v>
      </c>
      <c r="J77" s="755">
        <f t="shared" si="5"/>
        <v>0</v>
      </c>
      <c r="K77" s="755">
        <f t="shared" si="5"/>
        <v>0</v>
      </c>
      <c r="L77" s="755"/>
      <c r="M77" s="743"/>
      <c r="N77" s="743"/>
      <c r="O77" s="743"/>
      <c r="P77" s="755"/>
      <c r="Q77" s="743"/>
      <c r="R77" s="743"/>
      <c r="S77" s="743"/>
    </row>
    <row r="78" spans="1:19" hidden="1">
      <c r="A78" s="765">
        <f t="shared" si="4"/>
        <v>2.6199999999999868</v>
      </c>
      <c r="B78" s="743"/>
      <c r="C78" s="755">
        <f t="shared" si="0"/>
        <v>0</v>
      </c>
      <c r="D78" s="755">
        <f t="shared" si="1"/>
        <v>0</v>
      </c>
      <c r="E78" s="755"/>
      <c r="F78" s="755"/>
      <c r="G78" s="755">
        <f t="shared" si="2"/>
        <v>0</v>
      </c>
      <c r="H78" s="755"/>
      <c r="I78" s="755">
        <f t="shared" si="5"/>
        <v>0</v>
      </c>
      <c r="J78" s="755">
        <f t="shared" si="5"/>
        <v>0</v>
      </c>
      <c r="K78" s="755">
        <f t="shared" si="5"/>
        <v>0</v>
      </c>
      <c r="L78" s="755"/>
      <c r="M78" s="743"/>
      <c r="N78" s="743"/>
      <c r="O78" s="743"/>
      <c r="P78" s="755"/>
      <c r="Q78" s="743"/>
      <c r="R78" s="743"/>
      <c r="S78" s="743"/>
    </row>
    <row r="79" spans="1:19" hidden="1">
      <c r="A79" s="765">
        <f t="shared" si="4"/>
        <v>2.6299999999999866</v>
      </c>
      <c r="B79" s="743"/>
      <c r="C79" s="751">
        <f t="shared" si="0"/>
        <v>0</v>
      </c>
      <c r="D79" s="751">
        <f t="shared" si="1"/>
        <v>0</v>
      </c>
      <c r="E79" s="751"/>
      <c r="F79" s="751"/>
      <c r="G79" s="751">
        <f t="shared" si="2"/>
        <v>0</v>
      </c>
      <c r="H79" s="751"/>
      <c r="I79" s="751">
        <f t="shared" si="5"/>
        <v>0</v>
      </c>
      <c r="J79" s="751">
        <f t="shared" si="5"/>
        <v>0</v>
      </c>
      <c r="K79" s="751">
        <f t="shared" si="5"/>
        <v>0</v>
      </c>
      <c r="L79" s="751"/>
      <c r="M79" s="743"/>
      <c r="N79" s="743"/>
      <c r="O79" s="743"/>
      <c r="P79" s="751"/>
      <c r="Q79" s="743"/>
      <c r="R79" s="743"/>
      <c r="S79" s="743"/>
    </row>
    <row r="80" spans="1:19" hidden="1">
      <c r="A80" s="765">
        <f t="shared" si="4"/>
        <v>2.6399999999999864</v>
      </c>
      <c r="B80" s="743"/>
      <c r="C80" s="751">
        <f t="shared" si="0"/>
        <v>0</v>
      </c>
      <c r="D80" s="751">
        <f t="shared" si="1"/>
        <v>0</v>
      </c>
      <c r="E80" s="751"/>
      <c r="F80" s="751"/>
      <c r="G80" s="751">
        <f t="shared" si="2"/>
        <v>0</v>
      </c>
      <c r="H80" s="751"/>
      <c r="I80" s="751">
        <f t="shared" si="5"/>
        <v>0</v>
      </c>
      <c r="J80" s="751">
        <f t="shared" si="5"/>
        <v>0</v>
      </c>
      <c r="K80" s="751">
        <f t="shared" si="5"/>
        <v>0</v>
      </c>
      <c r="L80" s="751"/>
      <c r="M80" s="743"/>
      <c r="N80" s="743"/>
      <c r="O80" s="743"/>
      <c r="P80" s="751"/>
      <c r="Q80" s="743"/>
      <c r="R80" s="743"/>
      <c r="S80" s="743"/>
    </row>
    <row r="81" spans="1:19" hidden="1">
      <c r="A81" s="765">
        <f t="shared" si="4"/>
        <v>2.6499999999999861</v>
      </c>
      <c r="B81" s="743"/>
      <c r="C81" s="751">
        <f t="shared" ref="C81:C95" si="6">SUM(M81:O81)</f>
        <v>0</v>
      </c>
      <c r="D81" s="751">
        <f t="shared" ref="D81:D95" si="7">SUM(Q81:S81)</f>
        <v>0</v>
      </c>
      <c r="E81" s="751"/>
      <c r="F81" s="751"/>
      <c r="G81" s="751">
        <f t="shared" ref="G81:G107" si="8">ROUND(SUM(C81:F81)/2,0)</f>
        <v>0</v>
      </c>
      <c r="H81" s="751"/>
      <c r="I81" s="751">
        <f t="shared" ref="I81:K95" si="9">(M81+Q81)/2</f>
        <v>0</v>
      </c>
      <c r="J81" s="751">
        <f t="shared" si="9"/>
        <v>0</v>
      </c>
      <c r="K81" s="751">
        <f t="shared" si="9"/>
        <v>0</v>
      </c>
      <c r="L81" s="751"/>
      <c r="M81" s="743"/>
      <c r="N81" s="743"/>
      <c r="O81" s="743"/>
      <c r="P81" s="751"/>
      <c r="Q81" s="743"/>
      <c r="R81" s="743"/>
      <c r="S81" s="743"/>
    </row>
    <row r="82" spans="1:19" hidden="1">
      <c r="A82" s="765">
        <f t="shared" si="4"/>
        <v>2.6599999999999859</v>
      </c>
      <c r="B82" s="743"/>
      <c r="C82" s="751">
        <f t="shared" si="6"/>
        <v>0</v>
      </c>
      <c r="D82" s="751">
        <f t="shared" si="7"/>
        <v>0</v>
      </c>
      <c r="E82" s="751"/>
      <c r="F82" s="751"/>
      <c r="G82" s="751">
        <f t="shared" si="8"/>
        <v>0</v>
      </c>
      <c r="H82" s="751"/>
      <c r="I82" s="751">
        <f t="shared" si="9"/>
        <v>0</v>
      </c>
      <c r="J82" s="751">
        <f t="shared" si="9"/>
        <v>0</v>
      </c>
      <c r="K82" s="751">
        <f t="shared" si="9"/>
        <v>0</v>
      </c>
      <c r="L82" s="751"/>
      <c r="M82" s="743"/>
      <c r="N82" s="743"/>
      <c r="O82" s="743"/>
      <c r="P82" s="751"/>
      <c r="Q82" s="743"/>
      <c r="R82" s="743"/>
      <c r="S82" s="743"/>
    </row>
    <row r="83" spans="1:19" hidden="1">
      <c r="A83" s="765">
        <f t="shared" ref="A83:A107" si="10">A82+0.01</f>
        <v>2.6699999999999857</v>
      </c>
      <c r="B83" s="743"/>
      <c r="C83" s="751">
        <f t="shared" si="6"/>
        <v>0</v>
      </c>
      <c r="D83" s="751">
        <f t="shared" si="7"/>
        <v>0</v>
      </c>
      <c r="E83" s="751"/>
      <c r="F83" s="751"/>
      <c r="G83" s="751">
        <f t="shared" si="8"/>
        <v>0</v>
      </c>
      <c r="H83" s="751"/>
      <c r="I83" s="751">
        <f t="shared" si="9"/>
        <v>0</v>
      </c>
      <c r="J83" s="751">
        <f t="shared" si="9"/>
        <v>0</v>
      </c>
      <c r="K83" s="751">
        <f t="shared" si="9"/>
        <v>0</v>
      </c>
      <c r="L83" s="751"/>
      <c r="M83" s="743"/>
      <c r="N83" s="743"/>
      <c r="O83" s="743"/>
      <c r="P83" s="751"/>
      <c r="Q83" s="743"/>
      <c r="R83" s="743"/>
      <c r="S83" s="743"/>
    </row>
    <row r="84" spans="1:19" hidden="1">
      <c r="A84" s="765">
        <f t="shared" si="10"/>
        <v>2.6799999999999855</v>
      </c>
      <c r="B84" s="743"/>
      <c r="C84" s="751">
        <f t="shared" si="6"/>
        <v>0</v>
      </c>
      <c r="D84" s="751">
        <f t="shared" si="7"/>
        <v>0</v>
      </c>
      <c r="E84" s="751"/>
      <c r="F84" s="751"/>
      <c r="G84" s="751">
        <f t="shared" si="8"/>
        <v>0</v>
      </c>
      <c r="H84" s="751"/>
      <c r="I84" s="751">
        <f t="shared" si="9"/>
        <v>0</v>
      </c>
      <c r="J84" s="751">
        <f t="shared" si="9"/>
        <v>0</v>
      </c>
      <c r="K84" s="751">
        <f t="shared" si="9"/>
        <v>0</v>
      </c>
      <c r="L84" s="751"/>
      <c r="M84" s="743"/>
      <c r="N84" s="743"/>
      <c r="O84" s="743"/>
      <c r="P84" s="751"/>
      <c r="Q84" s="743"/>
      <c r="R84" s="743"/>
      <c r="S84" s="743"/>
    </row>
    <row r="85" spans="1:19" hidden="1">
      <c r="A85" s="765">
        <f t="shared" si="10"/>
        <v>2.6899999999999853</v>
      </c>
      <c r="B85" s="743"/>
      <c r="C85" s="751">
        <f t="shared" si="6"/>
        <v>0</v>
      </c>
      <c r="D85" s="751">
        <f t="shared" si="7"/>
        <v>0</v>
      </c>
      <c r="E85" s="751"/>
      <c r="F85" s="751"/>
      <c r="G85" s="751">
        <f t="shared" si="8"/>
        <v>0</v>
      </c>
      <c r="H85" s="751"/>
      <c r="I85" s="751">
        <f t="shared" si="9"/>
        <v>0</v>
      </c>
      <c r="J85" s="751">
        <f t="shared" si="9"/>
        <v>0</v>
      </c>
      <c r="K85" s="751">
        <f t="shared" si="9"/>
        <v>0</v>
      </c>
      <c r="L85" s="751"/>
      <c r="M85" s="743"/>
      <c r="N85" s="743"/>
      <c r="O85" s="743"/>
      <c r="P85" s="751"/>
      <c r="Q85" s="743"/>
      <c r="R85" s="743"/>
      <c r="S85" s="743"/>
    </row>
    <row r="86" spans="1:19" hidden="1">
      <c r="A86" s="765">
        <f t="shared" si="10"/>
        <v>2.6999999999999851</v>
      </c>
      <c r="B86" s="743"/>
      <c r="C86" s="751">
        <f t="shared" si="6"/>
        <v>0</v>
      </c>
      <c r="D86" s="751">
        <f t="shared" si="7"/>
        <v>0</v>
      </c>
      <c r="E86" s="751"/>
      <c r="F86" s="751"/>
      <c r="G86" s="751">
        <f t="shared" si="8"/>
        <v>0</v>
      </c>
      <c r="H86" s="751"/>
      <c r="I86" s="751">
        <f t="shared" si="9"/>
        <v>0</v>
      </c>
      <c r="J86" s="751">
        <f t="shared" si="9"/>
        <v>0</v>
      </c>
      <c r="K86" s="751">
        <f t="shared" si="9"/>
        <v>0</v>
      </c>
      <c r="L86" s="751"/>
      <c r="M86" s="743"/>
      <c r="N86" s="743"/>
      <c r="O86" s="743"/>
      <c r="P86" s="751"/>
      <c r="Q86" s="743"/>
      <c r="R86" s="743"/>
      <c r="S86" s="743"/>
    </row>
    <row r="87" spans="1:19" hidden="1">
      <c r="A87" s="765">
        <f t="shared" si="10"/>
        <v>2.7099999999999849</v>
      </c>
      <c r="B87" s="743"/>
      <c r="C87" s="751">
        <f t="shared" si="6"/>
        <v>0</v>
      </c>
      <c r="D87" s="751">
        <f t="shared" si="7"/>
        <v>0</v>
      </c>
      <c r="E87" s="751"/>
      <c r="F87" s="751"/>
      <c r="G87" s="751">
        <f t="shared" si="8"/>
        <v>0</v>
      </c>
      <c r="H87" s="751"/>
      <c r="I87" s="751">
        <f t="shared" si="9"/>
        <v>0</v>
      </c>
      <c r="J87" s="751">
        <f t="shared" si="9"/>
        <v>0</v>
      </c>
      <c r="K87" s="751">
        <f t="shared" si="9"/>
        <v>0</v>
      </c>
      <c r="L87" s="751"/>
      <c r="M87" s="743"/>
      <c r="N87" s="743"/>
      <c r="O87" s="743"/>
      <c r="P87" s="751"/>
      <c r="Q87" s="743"/>
      <c r="R87" s="743"/>
      <c r="S87" s="743"/>
    </row>
    <row r="88" spans="1:19" hidden="1">
      <c r="A88" s="765">
        <f t="shared" si="10"/>
        <v>2.7199999999999847</v>
      </c>
      <c r="B88" s="743"/>
      <c r="C88" s="751">
        <f t="shared" si="6"/>
        <v>0</v>
      </c>
      <c r="D88" s="751">
        <f t="shared" si="7"/>
        <v>0</v>
      </c>
      <c r="E88" s="751"/>
      <c r="F88" s="751"/>
      <c r="G88" s="751">
        <f t="shared" si="8"/>
        <v>0</v>
      </c>
      <c r="H88" s="751"/>
      <c r="I88" s="751">
        <f t="shared" si="9"/>
        <v>0</v>
      </c>
      <c r="J88" s="751">
        <f t="shared" si="9"/>
        <v>0</v>
      </c>
      <c r="K88" s="751">
        <f t="shared" si="9"/>
        <v>0</v>
      </c>
      <c r="L88" s="751"/>
      <c r="M88" s="743"/>
      <c r="N88" s="743"/>
      <c r="O88" s="743"/>
      <c r="P88" s="751"/>
      <c r="Q88" s="743"/>
      <c r="R88" s="743"/>
      <c r="S88" s="743"/>
    </row>
    <row r="89" spans="1:19" hidden="1">
      <c r="A89" s="765">
        <f t="shared" si="10"/>
        <v>2.7299999999999844</v>
      </c>
      <c r="B89" s="743"/>
      <c r="C89" s="751">
        <f t="shared" si="6"/>
        <v>0</v>
      </c>
      <c r="D89" s="751">
        <f t="shared" si="7"/>
        <v>0</v>
      </c>
      <c r="E89" s="751"/>
      <c r="F89" s="751"/>
      <c r="G89" s="751">
        <f t="shared" si="8"/>
        <v>0</v>
      </c>
      <c r="H89" s="751"/>
      <c r="I89" s="751">
        <f t="shared" si="9"/>
        <v>0</v>
      </c>
      <c r="J89" s="751">
        <f t="shared" si="9"/>
        <v>0</v>
      </c>
      <c r="K89" s="751">
        <f t="shared" si="9"/>
        <v>0</v>
      </c>
      <c r="L89" s="751"/>
      <c r="M89" s="743"/>
      <c r="N89" s="743"/>
      <c r="O89" s="743"/>
      <c r="P89" s="751"/>
      <c r="Q89" s="743"/>
      <c r="R89" s="743"/>
      <c r="S89" s="743"/>
    </row>
    <row r="90" spans="1:19" hidden="1">
      <c r="A90" s="765">
        <f t="shared" si="10"/>
        <v>2.7399999999999842</v>
      </c>
      <c r="B90" s="743"/>
      <c r="C90" s="751">
        <f t="shared" si="6"/>
        <v>0</v>
      </c>
      <c r="D90" s="751">
        <f t="shared" si="7"/>
        <v>0</v>
      </c>
      <c r="E90" s="751"/>
      <c r="F90" s="751"/>
      <c r="G90" s="751">
        <f t="shared" si="8"/>
        <v>0</v>
      </c>
      <c r="H90" s="751"/>
      <c r="I90" s="751">
        <f t="shared" si="9"/>
        <v>0</v>
      </c>
      <c r="J90" s="751">
        <f t="shared" si="9"/>
        <v>0</v>
      </c>
      <c r="K90" s="751">
        <f t="shared" si="9"/>
        <v>0</v>
      </c>
      <c r="L90" s="751"/>
      <c r="M90" s="743"/>
      <c r="N90" s="743"/>
      <c r="O90" s="743"/>
      <c r="P90" s="751"/>
      <c r="Q90" s="743"/>
      <c r="R90" s="743"/>
      <c r="S90" s="743"/>
    </row>
    <row r="91" spans="1:19" hidden="1">
      <c r="A91" s="765">
        <f t="shared" si="10"/>
        <v>2.749999999999984</v>
      </c>
      <c r="B91" s="743"/>
      <c r="C91" s="751">
        <f t="shared" si="6"/>
        <v>0</v>
      </c>
      <c r="D91" s="751">
        <f t="shared" si="7"/>
        <v>0</v>
      </c>
      <c r="E91" s="751"/>
      <c r="F91" s="751"/>
      <c r="G91" s="751">
        <f t="shared" si="8"/>
        <v>0</v>
      </c>
      <c r="H91" s="751"/>
      <c r="I91" s="751">
        <f t="shared" si="9"/>
        <v>0</v>
      </c>
      <c r="J91" s="751">
        <f t="shared" si="9"/>
        <v>0</v>
      </c>
      <c r="K91" s="751">
        <f t="shared" si="9"/>
        <v>0</v>
      </c>
      <c r="L91" s="751"/>
      <c r="M91" s="743"/>
      <c r="N91" s="743"/>
      <c r="O91" s="743"/>
      <c r="P91" s="751"/>
      <c r="Q91" s="743"/>
      <c r="R91" s="743"/>
      <c r="S91" s="743"/>
    </row>
    <row r="92" spans="1:19" hidden="1">
      <c r="A92" s="765">
        <f t="shared" si="10"/>
        <v>2.7599999999999838</v>
      </c>
      <c r="B92" s="743"/>
      <c r="C92" s="751">
        <f t="shared" si="6"/>
        <v>0</v>
      </c>
      <c r="D92" s="751">
        <f t="shared" si="7"/>
        <v>0</v>
      </c>
      <c r="E92" s="751"/>
      <c r="F92" s="751"/>
      <c r="G92" s="751">
        <f t="shared" si="8"/>
        <v>0</v>
      </c>
      <c r="H92" s="751"/>
      <c r="I92" s="751">
        <f t="shared" si="9"/>
        <v>0</v>
      </c>
      <c r="J92" s="751">
        <f t="shared" si="9"/>
        <v>0</v>
      </c>
      <c r="K92" s="751">
        <f t="shared" si="9"/>
        <v>0</v>
      </c>
      <c r="L92" s="751"/>
      <c r="M92" s="743"/>
      <c r="N92" s="743"/>
      <c r="O92" s="743"/>
      <c r="P92" s="751"/>
      <c r="Q92" s="743"/>
      <c r="R92" s="743"/>
      <c r="S92" s="743"/>
    </row>
    <row r="93" spans="1:19" hidden="1">
      <c r="A93" s="765">
        <f t="shared" si="10"/>
        <v>2.7699999999999836</v>
      </c>
      <c r="B93" s="743"/>
      <c r="C93" s="751">
        <f t="shared" si="6"/>
        <v>0</v>
      </c>
      <c r="D93" s="751">
        <f t="shared" si="7"/>
        <v>0</v>
      </c>
      <c r="E93" s="751"/>
      <c r="F93" s="751"/>
      <c r="G93" s="751">
        <f t="shared" si="8"/>
        <v>0</v>
      </c>
      <c r="H93" s="751"/>
      <c r="I93" s="751">
        <f t="shared" si="9"/>
        <v>0</v>
      </c>
      <c r="J93" s="751">
        <f t="shared" si="9"/>
        <v>0</v>
      </c>
      <c r="K93" s="751">
        <f t="shared" si="9"/>
        <v>0</v>
      </c>
      <c r="L93" s="751"/>
      <c r="M93" s="743"/>
      <c r="N93" s="743"/>
      <c r="O93" s="743"/>
      <c r="P93" s="751"/>
      <c r="Q93" s="743"/>
      <c r="R93" s="743"/>
      <c r="S93" s="743"/>
    </row>
    <row r="94" spans="1:19" hidden="1">
      <c r="A94" s="765">
        <f t="shared" si="10"/>
        <v>2.7799999999999834</v>
      </c>
      <c r="B94" s="743"/>
      <c r="C94" s="751">
        <f t="shared" si="6"/>
        <v>0</v>
      </c>
      <c r="D94" s="751">
        <f t="shared" si="7"/>
        <v>0</v>
      </c>
      <c r="E94" s="751"/>
      <c r="F94" s="751"/>
      <c r="G94" s="751">
        <f t="shared" si="8"/>
        <v>0</v>
      </c>
      <c r="H94" s="751"/>
      <c r="I94" s="751">
        <f t="shared" si="9"/>
        <v>0</v>
      </c>
      <c r="J94" s="751">
        <f t="shared" si="9"/>
        <v>0</v>
      </c>
      <c r="K94" s="751">
        <f t="shared" si="9"/>
        <v>0</v>
      </c>
      <c r="L94" s="751"/>
      <c r="M94" s="743"/>
      <c r="N94" s="743"/>
      <c r="O94" s="743"/>
      <c r="P94" s="751"/>
      <c r="Q94" s="743"/>
      <c r="R94" s="743"/>
      <c r="S94" s="743"/>
    </row>
    <row r="95" spans="1:19" hidden="1">
      <c r="A95" s="765">
        <f t="shared" si="10"/>
        <v>2.7899999999999832</v>
      </c>
      <c r="B95" s="743"/>
      <c r="C95" s="751">
        <f t="shared" si="6"/>
        <v>0</v>
      </c>
      <c r="D95" s="751">
        <f t="shared" si="7"/>
        <v>0</v>
      </c>
      <c r="E95" s="751"/>
      <c r="F95" s="751"/>
      <c r="G95" s="751">
        <f t="shared" si="8"/>
        <v>0</v>
      </c>
      <c r="H95" s="751"/>
      <c r="I95" s="751">
        <f t="shared" si="9"/>
        <v>0</v>
      </c>
      <c r="J95" s="751">
        <f t="shared" si="9"/>
        <v>0</v>
      </c>
      <c r="K95" s="751">
        <f t="shared" si="9"/>
        <v>0</v>
      </c>
      <c r="L95" s="751"/>
      <c r="M95" s="743"/>
      <c r="N95" s="743"/>
      <c r="O95" s="743"/>
      <c r="P95" s="751"/>
      <c r="Q95" s="743"/>
      <c r="R95" s="743"/>
      <c r="S95" s="743"/>
    </row>
    <row r="96" spans="1:19">
      <c r="A96" s="765">
        <f t="shared" si="10"/>
        <v>2.7999999999999829</v>
      </c>
      <c r="B96" s="743"/>
      <c r="C96" s="743"/>
      <c r="D96" s="743"/>
      <c r="E96" s="751">
        <f t="shared" ref="E96:F106" si="11">-C96</f>
        <v>0</v>
      </c>
      <c r="F96" s="751">
        <f t="shared" si="11"/>
        <v>0</v>
      </c>
      <c r="G96" s="751">
        <f t="shared" si="8"/>
        <v>0</v>
      </c>
      <c r="H96" s="751"/>
      <c r="I96" s="751"/>
      <c r="J96" s="751"/>
      <c r="K96" s="751"/>
      <c r="L96" s="751"/>
      <c r="M96" s="751"/>
      <c r="N96" s="751"/>
      <c r="O96" s="751"/>
      <c r="P96" s="751"/>
      <c r="Q96" s="751"/>
      <c r="R96" s="751"/>
      <c r="S96" s="751"/>
    </row>
    <row r="97" spans="1:256">
      <c r="A97" s="765">
        <f t="shared" si="10"/>
        <v>2.8099999999999827</v>
      </c>
      <c r="B97" s="743"/>
      <c r="C97" s="743"/>
      <c r="D97" s="743"/>
      <c r="E97" s="751">
        <f t="shared" si="11"/>
        <v>0</v>
      </c>
      <c r="F97" s="751">
        <f t="shared" si="11"/>
        <v>0</v>
      </c>
      <c r="G97" s="751">
        <f t="shared" si="8"/>
        <v>0</v>
      </c>
      <c r="H97" s="751"/>
      <c r="I97" s="751"/>
      <c r="J97" s="751"/>
      <c r="K97" s="751"/>
      <c r="L97" s="751"/>
      <c r="M97" s="751"/>
      <c r="N97" s="751"/>
      <c r="O97" s="751"/>
      <c r="P97" s="751"/>
      <c r="Q97" s="751"/>
      <c r="R97" s="751"/>
      <c r="S97" s="751"/>
    </row>
    <row r="98" spans="1:256">
      <c r="A98" s="765">
        <f t="shared" si="10"/>
        <v>2.8199999999999825</v>
      </c>
      <c r="B98" s="743"/>
      <c r="C98" s="743"/>
      <c r="D98" s="743"/>
      <c r="E98" s="751">
        <f t="shared" si="11"/>
        <v>0</v>
      </c>
      <c r="F98" s="751">
        <f t="shared" si="11"/>
        <v>0</v>
      </c>
      <c r="G98" s="751">
        <f t="shared" si="8"/>
        <v>0</v>
      </c>
      <c r="H98" s="751"/>
      <c r="I98" s="751"/>
      <c r="J98" s="751"/>
      <c r="K98" s="751"/>
      <c r="L98" s="751"/>
      <c r="M98" s="751"/>
      <c r="N98" s="751"/>
      <c r="O98" s="751"/>
      <c r="P98" s="751"/>
      <c r="Q98" s="751"/>
      <c r="R98" s="751"/>
      <c r="S98" s="751"/>
    </row>
    <row r="99" spans="1:256">
      <c r="A99" s="765">
        <f t="shared" si="10"/>
        <v>2.8299999999999823</v>
      </c>
      <c r="B99" s="743"/>
      <c r="C99" s="743"/>
      <c r="D99" s="743"/>
      <c r="E99" s="751">
        <f t="shared" si="11"/>
        <v>0</v>
      </c>
      <c r="F99" s="751">
        <f t="shared" si="11"/>
        <v>0</v>
      </c>
      <c r="G99" s="751">
        <f t="shared" si="8"/>
        <v>0</v>
      </c>
      <c r="H99" s="751"/>
      <c r="I99" s="751"/>
      <c r="J99" s="751"/>
      <c r="K99" s="751"/>
      <c r="L99" s="751"/>
      <c r="M99" s="751"/>
      <c r="N99" s="751"/>
      <c r="O99" s="751"/>
      <c r="P99" s="751"/>
      <c r="Q99" s="751"/>
      <c r="R99" s="751"/>
      <c r="S99" s="751"/>
    </row>
    <row r="100" spans="1:256">
      <c r="A100" s="765">
        <f t="shared" si="10"/>
        <v>2.8399999999999821</v>
      </c>
      <c r="B100" s="743"/>
      <c r="C100" s="743"/>
      <c r="D100" s="743"/>
      <c r="E100" s="751">
        <f t="shared" si="11"/>
        <v>0</v>
      </c>
      <c r="F100" s="751">
        <f t="shared" si="11"/>
        <v>0</v>
      </c>
      <c r="G100" s="751">
        <f t="shared" si="8"/>
        <v>0</v>
      </c>
      <c r="H100" s="751"/>
      <c r="I100" s="751"/>
      <c r="J100" s="751"/>
      <c r="K100" s="751"/>
      <c r="L100" s="751"/>
      <c r="M100" s="751"/>
      <c r="N100" s="751"/>
      <c r="O100" s="751"/>
      <c r="P100" s="751"/>
      <c r="Q100" s="751"/>
      <c r="R100" s="751"/>
      <c r="S100" s="751"/>
    </row>
    <row r="101" spans="1:256">
      <c r="A101" s="765">
        <f t="shared" si="10"/>
        <v>2.8499999999999819</v>
      </c>
      <c r="B101" s="743"/>
      <c r="C101" s="743"/>
      <c r="D101" s="743"/>
      <c r="E101" s="751">
        <f t="shared" si="11"/>
        <v>0</v>
      </c>
      <c r="F101" s="751">
        <f t="shared" si="11"/>
        <v>0</v>
      </c>
      <c r="G101" s="751">
        <f t="shared" si="8"/>
        <v>0</v>
      </c>
      <c r="H101" s="751"/>
      <c r="I101" s="751"/>
      <c r="J101" s="751"/>
      <c r="K101" s="751"/>
      <c r="L101" s="751"/>
      <c r="M101" s="751"/>
      <c r="N101" s="751"/>
      <c r="O101" s="751"/>
      <c r="P101" s="751"/>
      <c r="Q101" s="751"/>
      <c r="R101" s="751"/>
      <c r="S101" s="751"/>
    </row>
    <row r="102" spans="1:256">
      <c r="A102" s="765">
        <f t="shared" si="10"/>
        <v>2.8599999999999817</v>
      </c>
      <c r="B102" s="743"/>
      <c r="C102" s="743"/>
      <c r="D102" s="743"/>
      <c r="E102" s="751">
        <f t="shared" si="11"/>
        <v>0</v>
      </c>
      <c r="F102" s="751">
        <f t="shared" si="11"/>
        <v>0</v>
      </c>
      <c r="G102" s="751">
        <f t="shared" si="8"/>
        <v>0</v>
      </c>
      <c r="H102" s="751"/>
      <c r="I102" s="751"/>
      <c r="J102" s="751"/>
      <c r="K102" s="751"/>
      <c r="L102" s="751"/>
      <c r="M102" s="751"/>
      <c r="N102" s="751"/>
      <c r="O102" s="751"/>
      <c r="P102" s="751"/>
      <c r="Q102" s="751"/>
      <c r="R102" s="751"/>
      <c r="S102" s="751"/>
    </row>
    <row r="103" spans="1:256">
      <c r="A103" s="765">
        <f t="shared" si="10"/>
        <v>2.8699999999999815</v>
      </c>
      <c r="B103" s="743"/>
      <c r="C103" s="743"/>
      <c r="D103" s="743"/>
      <c r="E103" s="751">
        <f t="shared" si="11"/>
        <v>0</v>
      </c>
      <c r="F103" s="751">
        <f t="shared" si="11"/>
        <v>0</v>
      </c>
      <c r="G103" s="751">
        <f t="shared" si="8"/>
        <v>0</v>
      </c>
      <c r="H103" s="751"/>
      <c r="I103" s="751"/>
      <c r="J103" s="751"/>
      <c r="K103" s="751"/>
      <c r="L103" s="751"/>
      <c r="M103" s="751"/>
      <c r="N103" s="751"/>
      <c r="O103" s="751"/>
      <c r="P103" s="751"/>
      <c r="Q103" s="751"/>
      <c r="R103" s="751"/>
      <c r="S103" s="751"/>
    </row>
    <row r="104" spans="1:256">
      <c r="A104" s="765">
        <f t="shared" si="10"/>
        <v>2.8799999999999812</v>
      </c>
      <c r="B104" s="743"/>
      <c r="C104" s="743"/>
      <c r="D104" s="743"/>
      <c r="E104" s="751">
        <f t="shared" si="11"/>
        <v>0</v>
      </c>
      <c r="F104" s="751">
        <f t="shared" si="11"/>
        <v>0</v>
      </c>
      <c r="G104" s="751">
        <f t="shared" si="8"/>
        <v>0</v>
      </c>
      <c r="H104" s="751"/>
      <c r="I104" s="751"/>
      <c r="J104" s="751"/>
      <c r="K104" s="751"/>
      <c r="L104" s="751"/>
      <c r="M104" s="751"/>
      <c r="N104" s="751"/>
      <c r="O104" s="751"/>
      <c r="P104" s="751"/>
      <c r="Q104" s="751"/>
      <c r="R104" s="751"/>
      <c r="S104" s="751"/>
    </row>
    <row r="105" spans="1:256">
      <c r="A105" s="765">
        <f t="shared" si="10"/>
        <v>2.889999999999981</v>
      </c>
      <c r="B105" s="743"/>
      <c r="C105" s="743"/>
      <c r="D105" s="743"/>
      <c r="E105" s="751">
        <f t="shared" si="11"/>
        <v>0</v>
      </c>
      <c r="F105" s="751">
        <f t="shared" si="11"/>
        <v>0</v>
      </c>
      <c r="G105" s="751">
        <f t="shared" si="8"/>
        <v>0</v>
      </c>
      <c r="H105" s="751"/>
      <c r="I105" s="751"/>
      <c r="J105" s="751"/>
      <c r="K105" s="751"/>
      <c r="L105" s="751"/>
      <c r="M105" s="751"/>
      <c r="N105" s="751"/>
      <c r="O105" s="751"/>
      <c r="P105" s="751"/>
      <c r="Q105" s="751"/>
      <c r="R105" s="751"/>
      <c r="S105" s="751"/>
    </row>
    <row r="106" spans="1:256">
      <c r="A106" s="765">
        <f t="shared" si="10"/>
        <v>2.8999999999999808</v>
      </c>
      <c r="B106" s="743"/>
      <c r="C106" s="743"/>
      <c r="D106" s="743"/>
      <c r="E106" s="751">
        <f t="shared" si="11"/>
        <v>0</v>
      </c>
      <c r="F106" s="751">
        <f t="shared" si="11"/>
        <v>0</v>
      </c>
      <c r="G106" s="751">
        <f t="shared" si="8"/>
        <v>0</v>
      </c>
      <c r="H106" s="751"/>
      <c r="I106" s="751">
        <f t="shared" ref="I106:K107" si="12">(M106+Q106)/2</f>
        <v>0</v>
      </c>
      <c r="J106" s="751">
        <f t="shared" si="12"/>
        <v>0</v>
      </c>
      <c r="K106" s="751">
        <f t="shared" si="12"/>
        <v>0</v>
      </c>
      <c r="L106" s="751"/>
      <c r="M106" s="751"/>
      <c r="N106" s="751"/>
      <c r="O106" s="751"/>
      <c r="P106" s="751"/>
      <c r="Q106" s="751"/>
      <c r="R106" s="751"/>
      <c r="S106" s="751"/>
    </row>
    <row r="107" spans="1:256">
      <c r="A107" s="765">
        <f t="shared" si="10"/>
        <v>2.9099999999999806</v>
      </c>
      <c r="B107" s="743"/>
      <c r="C107" s="751">
        <f>SUM(M107:O107)</f>
        <v>0</v>
      </c>
      <c r="D107" s="751">
        <f>SUM(Q107:S107)</f>
        <v>0</v>
      </c>
      <c r="E107" s="751"/>
      <c r="F107" s="751"/>
      <c r="G107" s="751">
        <f t="shared" si="8"/>
        <v>0</v>
      </c>
      <c r="H107" s="751"/>
      <c r="I107" s="751">
        <f t="shared" si="12"/>
        <v>0</v>
      </c>
      <c r="J107" s="751">
        <f t="shared" si="12"/>
        <v>0</v>
      </c>
      <c r="K107" s="751">
        <f t="shared" si="12"/>
        <v>0</v>
      </c>
      <c r="L107" s="751"/>
      <c r="M107" s="743"/>
      <c r="N107" s="743"/>
      <c r="O107" s="743"/>
      <c r="P107" s="751"/>
      <c r="Q107" s="743"/>
      <c r="R107" s="743"/>
      <c r="S107" s="743"/>
    </row>
    <row r="108" spans="1:256">
      <c r="A108" s="760"/>
      <c r="B108" s="751"/>
      <c r="C108" s="751"/>
      <c r="D108" s="751"/>
      <c r="E108" s="751"/>
      <c r="F108" s="751"/>
      <c r="G108" s="751"/>
      <c r="H108" s="751"/>
      <c r="I108" s="751"/>
      <c r="J108" s="751"/>
      <c r="K108" s="751"/>
      <c r="L108" s="751"/>
      <c r="M108" s="751"/>
      <c r="N108" s="751"/>
      <c r="O108" s="751"/>
      <c r="P108" s="751"/>
      <c r="Q108" s="751"/>
      <c r="R108" s="751"/>
      <c r="S108" s="751"/>
    </row>
    <row r="109" spans="1:256" ht="13.5" thickBot="1">
      <c r="A109" s="742">
        <v>3</v>
      </c>
      <c r="B109" s="751" t="s">
        <v>685</v>
      </c>
      <c r="C109" s="761">
        <f>SUM(C17:C108)</f>
        <v>0</v>
      </c>
      <c r="D109" s="761">
        <f>SUM(D17:D108)</f>
        <v>0</v>
      </c>
      <c r="E109" s="761">
        <f>SUM(E17:E108)</f>
        <v>0</v>
      </c>
      <c r="F109" s="761">
        <f>SUM(F17:F108)</f>
        <v>0</v>
      </c>
      <c r="G109" s="761">
        <f>SUM(G17:G108)</f>
        <v>0</v>
      </c>
      <c r="H109" s="751"/>
      <c r="I109" s="761">
        <f>SUM(I17:I108)</f>
        <v>0</v>
      </c>
      <c r="J109" s="761">
        <f>SUM(J17:J108)</f>
        <v>0</v>
      </c>
      <c r="K109" s="761">
        <f>SUM(K17:K108)</f>
        <v>0</v>
      </c>
      <c r="L109" s="751"/>
      <c r="M109" s="761">
        <f>SUM(M17:M108)</f>
        <v>0</v>
      </c>
      <c r="N109" s="761">
        <f>SUM(N17:N108)</f>
        <v>0</v>
      </c>
      <c r="O109" s="761">
        <f>SUM(O17:O108)</f>
        <v>0</v>
      </c>
      <c r="P109" s="751"/>
      <c r="Q109" s="761">
        <f>SUM(Q17:Q108)</f>
        <v>0</v>
      </c>
      <c r="R109" s="761">
        <f>SUM(R17:R108)</f>
        <v>0</v>
      </c>
      <c r="S109" s="761">
        <f>SUM(S17:S108)</f>
        <v>0</v>
      </c>
    </row>
    <row r="110" spans="1:256" ht="13.5" thickTop="1">
      <c r="A110" s="742">
        <v>4</v>
      </c>
      <c r="B110" s="745" t="s">
        <v>686</v>
      </c>
      <c r="C110" s="751">
        <f>C77+C78</f>
        <v>0</v>
      </c>
      <c r="D110" s="751">
        <f>D77+D78</f>
        <v>0</v>
      </c>
      <c r="E110" s="751">
        <f>E77+E78</f>
        <v>0</v>
      </c>
      <c r="F110" s="751">
        <f>F77+F78</f>
        <v>0</v>
      </c>
      <c r="G110" s="751">
        <f>G77+G78</f>
        <v>0</v>
      </c>
      <c r="I110" s="751">
        <f>I77+I78</f>
        <v>0</v>
      </c>
      <c r="J110" s="751">
        <f>J77+J78</f>
        <v>0</v>
      </c>
      <c r="K110" s="751">
        <f>K77+K78</f>
        <v>0</v>
      </c>
      <c r="M110" s="751">
        <f>M77+M78</f>
        <v>0</v>
      </c>
      <c r="N110" s="751">
        <f>N77+N78</f>
        <v>0</v>
      </c>
      <c r="O110" s="751">
        <f>O77+O78</f>
        <v>0</v>
      </c>
      <c r="Q110" s="751">
        <f>Q77+Q78</f>
        <v>0</v>
      </c>
      <c r="R110" s="751">
        <f>R77+R78</f>
        <v>0</v>
      </c>
      <c r="S110" s="751">
        <f>S77+S78</f>
        <v>0</v>
      </c>
      <c r="IV110" s="751"/>
    </row>
    <row r="111" spans="1:256">
      <c r="I111" s="751"/>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W87"/>
  <sheetViews>
    <sheetView workbookViewId="0">
      <selection activeCell="A5" sqref="A5"/>
    </sheetView>
  </sheetViews>
  <sheetFormatPr defaultColWidth="10" defaultRowHeight="12"/>
  <cols>
    <col min="1" max="1" width="9.42578125" style="986" customWidth="1"/>
    <col min="2" max="2" width="20.85546875" style="987" customWidth="1"/>
    <col min="3" max="3" width="35.5703125" style="986" customWidth="1"/>
    <col min="4" max="4" width="12.85546875" style="986" customWidth="1"/>
    <col min="5" max="5" width="10.42578125" style="986" customWidth="1"/>
    <col min="6" max="6" width="16.42578125" style="986" customWidth="1"/>
    <col min="7" max="7" width="12" style="986" customWidth="1"/>
    <col min="8" max="8" width="14.28515625" style="986" bestFit="1" customWidth="1"/>
    <col min="9" max="9" width="18.85546875" style="986" customWidth="1"/>
    <col min="10" max="10" width="15.5703125" style="986" customWidth="1"/>
    <col min="11" max="11" width="16.140625" style="986" customWidth="1"/>
    <col min="12" max="13" width="15" style="986" customWidth="1"/>
    <col min="14" max="14" width="13.5703125" style="986" customWidth="1"/>
    <col min="15" max="15" width="15" style="986" customWidth="1"/>
    <col min="16" max="17" width="17.5703125" style="986" customWidth="1"/>
    <col min="18" max="18" width="33" style="986" customWidth="1"/>
    <col min="19" max="19" width="15" style="986" customWidth="1"/>
    <col min="20" max="21" width="14.5703125" style="986" bestFit="1" customWidth="1"/>
    <col min="22" max="22" width="10.5703125" style="986" bestFit="1" customWidth="1"/>
    <col min="23" max="256" width="10" style="986"/>
    <col min="257" max="257" width="9.42578125" style="986" customWidth="1"/>
    <col min="258" max="258" width="20.85546875" style="986" customWidth="1"/>
    <col min="259" max="259" width="35.5703125" style="986" customWidth="1"/>
    <col min="260" max="260" width="12.85546875" style="986" customWidth="1"/>
    <col min="261" max="261" width="10.42578125" style="986" customWidth="1"/>
    <col min="262" max="262" width="16.42578125" style="986" customWidth="1"/>
    <col min="263" max="263" width="12" style="986" customWidth="1"/>
    <col min="264" max="264" width="14.28515625" style="986" bestFit="1" customWidth="1"/>
    <col min="265" max="265" width="18.85546875" style="986" customWidth="1"/>
    <col min="266" max="266" width="15.5703125" style="986" customWidth="1"/>
    <col min="267" max="267" width="16.140625" style="986" customWidth="1"/>
    <col min="268" max="269" width="15" style="986" customWidth="1"/>
    <col min="270" max="270" width="13.5703125" style="986" customWidth="1"/>
    <col min="271" max="271" width="15" style="986" customWidth="1"/>
    <col min="272" max="273" width="17.5703125" style="986" customWidth="1"/>
    <col min="274" max="274" width="33" style="986" customWidth="1"/>
    <col min="275" max="275" width="15" style="986" customWidth="1"/>
    <col min="276" max="277" width="14.5703125" style="986" bestFit="1" customWidth="1"/>
    <col min="278" max="278" width="10.5703125" style="986" bestFit="1" customWidth="1"/>
    <col min="279" max="512" width="10" style="986"/>
    <col min="513" max="513" width="9.42578125" style="986" customWidth="1"/>
    <col min="514" max="514" width="20.85546875" style="986" customWidth="1"/>
    <col min="515" max="515" width="35.5703125" style="986" customWidth="1"/>
    <col min="516" max="516" width="12.85546875" style="986" customWidth="1"/>
    <col min="517" max="517" width="10.42578125" style="986" customWidth="1"/>
    <col min="518" max="518" width="16.42578125" style="986" customWidth="1"/>
    <col min="519" max="519" width="12" style="986" customWidth="1"/>
    <col min="520" max="520" width="14.28515625" style="986" bestFit="1" customWidth="1"/>
    <col min="521" max="521" width="18.85546875" style="986" customWidth="1"/>
    <col min="522" max="522" width="15.5703125" style="986" customWidth="1"/>
    <col min="523" max="523" width="16.140625" style="986" customWidth="1"/>
    <col min="524" max="525" width="15" style="986" customWidth="1"/>
    <col min="526" max="526" width="13.5703125" style="986" customWidth="1"/>
    <col min="527" max="527" width="15" style="986" customWidth="1"/>
    <col min="528" max="529" width="17.5703125" style="986" customWidth="1"/>
    <col min="530" max="530" width="33" style="986" customWidth="1"/>
    <col min="531" max="531" width="15" style="986" customWidth="1"/>
    <col min="532" max="533" width="14.5703125" style="986" bestFit="1" customWidth="1"/>
    <col min="534" max="534" width="10.5703125" style="986" bestFit="1" customWidth="1"/>
    <col min="535" max="768" width="10" style="986"/>
    <col min="769" max="769" width="9.42578125" style="986" customWidth="1"/>
    <col min="770" max="770" width="20.85546875" style="986" customWidth="1"/>
    <col min="771" max="771" width="35.5703125" style="986" customWidth="1"/>
    <col min="772" max="772" width="12.85546875" style="986" customWidth="1"/>
    <col min="773" max="773" width="10.42578125" style="986" customWidth="1"/>
    <col min="774" max="774" width="16.42578125" style="986" customWidth="1"/>
    <col min="775" max="775" width="12" style="986" customWidth="1"/>
    <col min="776" max="776" width="14.28515625" style="986" bestFit="1" customWidth="1"/>
    <col min="777" max="777" width="18.85546875" style="986" customWidth="1"/>
    <col min="778" max="778" width="15.5703125" style="986" customWidth="1"/>
    <col min="779" max="779" width="16.140625" style="986" customWidth="1"/>
    <col min="780" max="781" width="15" style="986" customWidth="1"/>
    <col min="782" max="782" width="13.5703125" style="986" customWidth="1"/>
    <col min="783" max="783" width="15" style="986" customWidth="1"/>
    <col min="784" max="785" width="17.5703125" style="986" customWidth="1"/>
    <col min="786" max="786" width="33" style="986" customWidth="1"/>
    <col min="787" max="787" width="15" style="986" customWidth="1"/>
    <col min="788" max="789" width="14.5703125" style="986" bestFit="1" customWidth="1"/>
    <col min="790" max="790" width="10.5703125" style="986" bestFit="1" customWidth="1"/>
    <col min="791" max="1024" width="10" style="986"/>
    <col min="1025" max="1025" width="9.42578125" style="986" customWidth="1"/>
    <col min="1026" max="1026" width="20.85546875" style="986" customWidth="1"/>
    <col min="1027" max="1027" width="35.5703125" style="986" customWidth="1"/>
    <col min="1028" max="1028" width="12.85546875" style="986" customWidth="1"/>
    <col min="1029" max="1029" width="10.42578125" style="986" customWidth="1"/>
    <col min="1030" max="1030" width="16.42578125" style="986" customWidth="1"/>
    <col min="1031" max="1031" width="12" style="986" customWidth="1"/>
    <col min="1032" max="1032" width="14.28515625" style="986" bestFit="1" customWidth="1"/>
    <col min="1033" max="1033" width="18.85546875" style="986" customWidth="1"/>
    <col min="1034" max="1034" width="15.5703125" style="986" customWidth="1"/>
    <col min="1035" max="1035" width="16.140625" style="986" customWidth="1"/>
    <col min="1036" max="1037" width="15" style="986" customWidth="1"/>
    <col min="1038" max="1038" width="13.5703125" style="986" customWidth="1"/>
    <col min="1039" max="1039" width="15" style="986" customWidth="1"/>
    <col min="1040" max="1041" width="17.5703125" style="986" customWidth="1"/>
    <col min="1042" max="1042" width="33" style="986" customWidth="1"/>
    <col min="1043" max="1043" width="15" style="986" customWidth="1"/>
    <col min="1044" max="1045" width="14.5703125" style="986" bestFit="1" customWidth="1"/>
    <col min="1046" max="1046" width="10.5703125" style="986" bestFit="1" customWidth="1"/>
    <col min="1047" max="1280" width="10" style="986"/>
    <col min="1281" max="1281" width="9.42578125" style="986" customWidth="1"/>
    <col min="1282" max="1282" width="20.85546875" style="986" customWidth="1"/>
    <col min="1283" max="1283" width="35.5703125" style="986" customWidth="1"/>
    <col min="1284" max="1284" width="12.85546875" style="986" customWidth="1"/>
    <col min="1285" max="1285" width="10.42578125" style="986" customWidth="1"/>
    <col min="1286" max="1286" width="16.42578125" style="986" customWidth="1"/>
    <col min="1287" max="1287" width="12" style="986" customWidth="1"/>
    <col min="1288" max="1288" width="14.28515625" style="986" bestFit="1" customWidth="1"/>
    <col min="1289" max="1289" width="18.85546875" style="986" customWidth="1"/>
    <col min="1290" max="1290" width="15.5703125" style="986" customWidth="1"/>
    <col min="1291" max="1291" width="16.140625" style="986" customWidth="1"/>
    <col min="1292" max="1293" width="15" style="986" customWidth="1"/>
    <col min="1294" max="1294" width="13.5703125" style="986" customWidth="1"/>
    <col min="1295" max="1295" width="15" style="986" customWidth="1"/>
    <col min="1296" max="1297" width="17.5703125" style="986" customWidth="1"/>
    <col min="1298" max="1298" width="33" style="986" customWidth="1"/>
    <col min="1299" max="1299" width="15" style="986" customWidth="1"/>
    <col min="1300" max="1301" width="14.5703125" style="986" bestFit="1" customWidth="1"/>
    <col min="1302" max="1302" width="10.5703125" style="986" bestFit="1" customWidth="1"/>
    <col min="1303" max="1536" width="10" style="986"/>
    <col min="1537" max="1537" width="9.42578125" style="986" customWidth="1"/>
    <col min="1538" max="1538" width="20.85546875" style="986" customWidth="1"/>
    <col min="1539" max="1539" width="35.5703125" style="986" customWidth="1"/>
    <col min="1540" max="1540" width="12.85546875" style="986" customWidth="1"/>
    <col min="1541" max="1541" width="10.42578125" style="986" customWidth="1"/>
    <col min="1542" max="1542" width="16.42578125" style="986" customWidth="1"/>
    <col min="1543" max="1543" width="12" style="986" customWidth="1"/>
    <col min="1544" max="1544" width="14.28515625" style="986" bestFit="1" customWidth="1"/>
    <col min="1545" max="1545" width="18.85546875" style="986" customWidth="1"/>
    <col min="1546" max="1546" width="15.5703125" style="986" customWidth="1"/>
    <col min="1547" max="1547" width="16.140625" style="986" customWidth="1"/>
    <col min="1548" max="1549" width="15" style="986" customWidth="1"/>
    <col min="1550" max="1550" width="13.5703125" style="986" customWidth="1"/>
    <col min="1551" max="1551" width="15" style="986" customWidth="1"/>
    <col min="1552" max="1553" width="17.5703125" style="986" customWidth="1"/>
    <col min="1554" max="1554" width="33" style="986" customWidth="1"/>
    <col min="1555" max="1555" width="15" style="986" customWidth="1"/>
    <col min="1556" max="1557" width="14.5703125" style="986" bestFit="1" customWidth="1"/>
    <col min="1558" max="1558" width="10.5703125" style="986" bestFit="1" customWidth="1"/>
    <col min="1559" max="1792" width="10" style="986"/>
    <col min="1793" max="1793" width="9.42578125" style="986" customWidth="1"/>
    <col min="1794" max="1794" width="20.85546875" style="986" customWidth="1"/>
    <col min="1795" max="1795" width="35.5703125" style="986" customWidth="1"/>
    <col min="1796" max="1796" width="12.85546875" style="986" customWidth="1"/>
    <col min="1797" max="1797" width="10.42578125" style="986" customWidth="1"/>
    <col min="1798" max="1798" width="16.42578125" style="986" customWidth="1"/>
    <col min="1799" max="1799" width="12" style="986" customWidth="1"/>
    <col min="1800" max="1800" width="14.28515625" style="986" bestFit="1" customWidth="1"/>
    <col min="1801" max="1801" width="18.85546875" style="986" customWidth="1"/>
    <col min="1802" max="1802" width="15.5703125" style="986" customWidth="1"/>
    <col min="1803" max="1803" width="16.140625" style="986" customWidth="1"/>
    <col min="1804" max="1805" width="15" style="986" customWidth="1"/>
    <col min="1806" max="1806" width="13.5703125" style="986" customWidth="1"/>
    <col min="1807" max="1807" width="15" style="986" customWidth="1"/>
    <col min="1808" max="1809" width="17.5703125" style="986" customWidth="1"/>
    <col min="1810" max="1810" width="33" style="986" customWidth="1"/>
    <col min="1811" max="1811" width="15" style="986" customWidth="1"/>
    <col min="1812" max="1813" width="14.5703125" style="986" bestFit="1" customWidth="1"/>
    <col min="1814" max="1814" width="10.5703125" style="986" bestFit="1" customWidth="1"/>
    <col min="1815" max="2048" width="10" style="986"/>
    <col min="2049" max="2049" width="9.42578125" style="986" customWidth="1"/>
    <col min="2050" max="2050" width="20.85546875" style="986" customWidth="1"/>
    <col min="2051" max="2051" width="35.5703125" style="986" customWidth="1"/>
    <col min="2052" max="2052" width="12.85546875" style="986" customWidth="1"/>
    <col min="2053" max="2053" width="10.42578125" style="986" customWidth="1"/>
    <col min="2054" max="2054" width="16.42578125" style="986" customWidth="1"/>
    <col min="2055" max="2055" width="12" style="986" customWidth="1"/>
    <col min="2056" max="2056" width="14.28515625" style="986" bestFit="1" customWidth="1"/>
    <col min="2057" max="2057" width="18.85546875" style="986" customWidth="1"/>
    <col min="2058" max="2058" width="15.5703125" style="986" customWidth="1"/>
    <col min="2059" max="2059" width="16.140625" style="986" customWidth="1"/>
    <col min="2060" max="2061" width="15" style="986" customWidth="1"/>
    <col min="2062" max="2062" width="13.5703125" style="986" customWidth="1"/>
    <col min="2063" max="2063" width="15" style="986" customWidth="1"/>
    <col min="2064" max="2065" width="17.5703125" style="986" customWidth="1"/>
    <col min="2066" max="2066" width="33" style="986" customWidth="1"/>
    <col min="2067" max="2067" width="15" style="986" customWidth="1"/>
    <col min="2068" max="2069" width="14.5703125" style="986" bestFit="1" customWidth="1"/>
    <col min="2070" max="2070" width="10.5703125" style="986" bestFit="1" customWidth="1"/>
    <col min="2071" max="2304" width="10" style="986"/>
    <col min="2305" max="2305" width="9.42578125" style="986" customWidth="1"/>
    <col min="2306" max="2306" width="20.85546875" style="986" customWidth="1"/>
    <col min="2307" max="2307" width="35.5703125" style="986" customWidth="1"/>
    <col min="2308" max="2308" width="12.85546875" style="986" customWidth="1"/>
    <col min="2309" max="2309" width="10.42578125" style="986" customWidth="1"/>
    <col min="2310" max="2310" width="16.42578125" style="986" customWidth="1"/>
    <col min="2311" max="2311" width="12" style="986" customWidth="1"/>
    <col min="2312" max="2312" width="14.28515625" style="986" bestFit="1" customWidth="1"/>
    <col min="2313" max="2313" width="18.85546875" style="986" customWidth="1"/>
    <col min="2314" max="2314" width="15.5703125" style="986" customWidth="1"/>
    <col min="2315" max="2315" width="16.140625" style="986" customWidth="1"/>
    <col min="2316" max="2317" width="15" style="986" customWidth="1"/>
    <col min="2318" max="2318" width="13.5703125" style="986" customWidth="1"/>
    <col min="2319" max="2319" width="15" style="986" customWidth="1"/>
    <col min="2320" max="2321" width="17.5703125" style="986" customWidth="1"/>
    <col min="2322" max="2322" width="33" style="986" customWidth="1"/>
    <col min="2323" max="2323" width="15" style="986" customWidth="1"/>
    <col min="2324" max="2325" width="14.5703125" style="986" bestFit="1" customWidth="1"/>
    <col min="2326" max="2326" width="10.5703125" style="986" bestFit="1" customWidth="1"/>
    <col min="2327" max="2560" width="10" style="986"/>
    <col min="2561" max="2561" width="9.42578125" style="986" customWidth="1"/>
    <col min="2562" max="2562" width="20.85546875" style="986" customWidth="1"/>
    <col min="2563" max="2563" width="35.5703125" style="986" customWidth="1"/>
    <col min="2564" max="2564" width="12.85546875" style="986" customWidth="1"/>
    <col min="2565" max="2565" width="10.42578125" style="986" customWidth="1"/>
    <col min="2566" max="2566" width="16.42578125" style="986" customWidth="1"/>
    <col min="2567" max="2567" width="12" style="986" customWidth="1"/>
    <col min="2568" max="2568" width="14.28515625" style="986" bestFit="1" customWidth="1"/>
    <col min="2569" max="2569" width="18.85546875" style="986" customWidth="1"/>
    <col min="2570" max="2570" width="15.5703125" style="986" customWidth="1"/>
    <col min="2571" max="2571" width="16.140625" style="986" customWidth="1"/>
    <col min="2572" max="2573" width="15" style="986" customWidth="1"/>
    <col min="2574" max="2574" width="13.5703125" style="986" customWidth="1"/>
    <col min="2575" max="2575" width="15" style="986" customWidth="1"/>
    <col min="2576" max="2577" width="17.5703125" style="986" customWidth="1"/>
    <col min="2578" max="2578" width="33" style="986" customWidth="1"/>
    <col min="2579" max="2579" width="15" style="986" customWidth="1"/>
    <col min="2580" max="2581" width="14.5703125" style="986" bestFit="1" customWidth="1"/>
    <col min="2582" max="2582" width="10.5703125" style="986" bestFit="1" customWidth="1"/>
    <col min="2583" max="2816" width="10" style="986"/>
    <col min="2817" max="2817" width="9.42578125" style="986" customWidth="1"/>
    <col min="2818" max="2818" width="20.85546875" style="986" customWidth="1"/>
    <col min="2819" max="2819" width="35.5703125" style="986" customWidth="1"/>
    <col min="2820" max="2820" width="12.85546875" style="986" customWidth="1"/>
    <col min="2821" max="2821" width="10.42578125" style="986" customWidth="1"/>
    <col min="2822" max="2822" width="16.42578125" style="986" customWidth="1"/>
    <col min="2823" max="2823" width="12" style="986" customWidth="1"/>
    <col min="2824" max="2824" width="14.28515625" style="986" bestFit="1" customWidth="1"/>
    <col min="2825" max="2825" width="18.85546875" style="986" customWidth="1"/>
    <col min="2826" max="2826" width="15.5703125" style="986" customWidth="1"/>
    <col min="2827" max="2827" width="16.140625" style="986" customWidth="1"/>
    <col min="2828" max="2829" width="15" style="986" customWidth="1"/>
    <col min="2830" max="2830" width="13.5703125" style="986" customWidth="1"/>
    <col min="2831" max="2831" width="15" style="986" customWidth="1"/>
    <col min="2832" max="2833" width="17.5703125" style="986" customWidth="1"/>
    <col min="2834" max="2834" width="33" style="986" customWidth="1"/>
    <col min="2835" max="2835" width="15" style="986" customWidth="1"/>
    <col min="2836" max="2837" width="14.5703125" style="986" bestFit="1" customWidth="1"/>
    <col min="2838" max="2838" width="10.5703125" style="986" bestFit="1" customWidth="1"/>
    <col min="2839" max="3072" width="10" style="986"/>
    <col min="3073" max="3073" width="9.42578125" style="986" customWidth="1"/>
    <col min="3074" max="3074" width="20.85546875" style="986" customWidth="1"/>
    <col min="3075" max="3075" width="35.5703125" style="986" customWidth="1"/>
    <col min="3076" max="3076" width="12.85546875" style="986" customWidth="1"/>
    <col min="3077" max="3077" width="10.42578125" style="986" customWidth="1"/>
    <col min="3078" max="3078" width="16.42578125" style="986" customWidth="1"/>
    <col min="3079" max="3079" width="12" style="986" customWidth="1"/>
    <col min="3080" max="3080" width="14.28515625" style="986" bestFit="1" customWidth="1"/>
    <col min="3081" max="3081" width="18.85546875" style="986" customWidth="1"/>
    <col min="3082" max="3082" width="15.5703125" style="986" customWidth="1"/>
    <col min="3083" max="3083" width="16.140625" style="986" customWidth="1"/>
    <col min="3084" max="3085" width="15" style="986" customWidth="1"/>
    <col min="3086" max="3086" width="13.5703125" style="986" customWidth="1"/>
    <col min="3087" max="3087" width="15" style="986" customWidth="1"/>
    <col min="3088" max="3089" width="17.5703125" style="986" customWidth="1"/>
    <col min="3090" max="3090" width="33" style="986" customWidth="1"/>
    <col min="3091" max="3091" width="15" style="986" customWidth="1"/>
    <col min="3092" max="3093" width="14.5703125" style="986" bestFit="1" customWidth="1"/>
    <col min="3094" max="3094" width="10.5703125" style="986" bestFit="1" customWidth="1"/>
    <col min="3095" max="3328" width="10" style="986"/>
    <col min="3329" max="3329" width="9.42578125" style="986" customWidth="1"/>
    <col min="3330" max="3330" width="20.85546875" style="986" customWidth="1"/>
    <col min="3331" max="3331" width="35.5703125" style="986" customWidth="1"/>
    <col min="3332" max="3332" width="12.85546875" style="986" customWidth="1"/>
    <col min="3333" max="3333" width="10.42578125" style="986" customWidth="1"/>
    <col min="3334" max="3334" width="16.42578125" style="986" customWidth="1"/>
    <col min="3335" max="3335" width="12" style="986" customWidth="1"/>
    <col min="3336" max="3336" width="14.28515625" style="986" bestFit="1" customWidth="1"/>
    <col min="3337" max="3337" width="18.85546875" style="986" customWidth="1"/>
    <col min="3338" max="3338" width="15.5703125" style="986" customWidth="1"/>
    <col min="3339" max="3339" width="16.140625" style="986" customWidth="1"/>
    <col min="3340" max="3341" width="15" style="986" customWidth="1"/>
    <col min="3342" max="3342" width="13.5703125" style="986" customWidth="1"/>
    <col min="3343" max="3343" width="15" style="986" customWidth="1"/>
    <col min="3344" max="3345" width="17.5703125" style="986" customWidth="1"/>
    <col min="3346" max="3346" width="33" style="986" customWidth="1"/>
    <col min="3347" max="3347" width="15" style="986" customWidth="1"/>
    <col min="3348" max="3349" width="14.5703125" style="986" bestFit="1" customWidth="1"/>
    <col min="3350" max="3350" width="10.5703125" style="986" bestFit="1" customWidth="1"/>
    <col min="3351" max="3584" width="10" style="986"/>
    <col min="3585" max="3585" width="9.42578125" style="986" customWidth="1"/>
    <col min="3586" max="3586" width="20.85546875" style="986" customWidth="1"/>
    <col min="3587" max="3587" width="35.5703125" style="986" customWidth="1"/>
    <col min="3588" max="3588" width="12.85546875" style="986" customWidth="1"/>
    <col min="3589" max="3589" width="10.42578125" style="986" customWidth="1"/>
    <col min="3590" max="3590" width="16.42578125" style="986" customWidth="1"/>
    <col min="3591" max="3591" width="12" style="986" customWidth="1"/>
    <col min="3592" max="3592" width="14.28515625" style="986" bestFit="1" customWidth="1"/>
    <col min="3593" max="3593" width="18.85546875" style="986" customWidth="1"/>
    <col min="3594" max="3594" width="15.5703125" style="986" customWidth="1"/>
    <col min="3595" max="3595" width="16.140625" style="986" customWidth="1"/>
    <col min="3596" max="3597" width="15" style="986" customWidth="1"/>
    <col min="3598" max="3598" width="13.5703125" style="986" customWidth="1"/>
    <col min="3599" max="3599" width="15" style="986" customWidth="1"/>
    <col min="3600" max="3601" width="17.5703125" style="986" customWidth="1"/>
    <col min="3602" max="3602" width="33" style="986" customWidth="1"/>
    <col min="3603" max="3603" width="15" style="986" customWidth="1"/>
    <col min="3604" max="3605" width="14.5703125" style="986" bestFit="1" customWidth="1"/>
    <col min="3606" max="3606" width="10.5703125" style="986" bestFit="1" customWidth="1"/>
    <col min="3607" max="3840" width="10" style="986"/>
    <col min="3841" max="3841" width="9.42578125" style="986" customWidth="1"/>
    <col min="3842" max="3842" width="20.85546875" style="986" customWidth="1"/>
    <col min="3843" max="3843" width="35.5703125" style="986" customWidth="1"/>
    <col min="3844" max="3844" width="12.85546875" style="986" customWidth="1"/>
    <col min="3845" max="3845" width="10.42578125" style="986" customWidth="1"/>
    <col min="3846" max="3846" width="16.42578125" style="986" customWidth="1"/>
    <col min="3847" max="3847" width="12" style="986" customWidth="1"/>
    <col min="3848" max="3848" width="14.28515625" style="986" bestFit="1" customWidth="1"/>
    <col min="3849" max="3849" width="18.85546875" style="986" customWidth="1"/>
    <col min="3850" max="3850" width="15.5703125" style="986" customWidth="1"/>
    <col min="3851" max="3851" width="16.140625" style="986" customWidth="1"/>
    <col min="3852" max="3853" width="15" style="986" customWidth="1"/>
    <col min="3854" max="3854" width="13.5703125" style="986" customWidth="1"/>
    <col min="3855" max="3855" width="15" style="986" customWidth="1"/>
    <col min="3856" max="3857" width="17.5703125" style="986" customWidth="1"/>
    <col min="3858" max="3858" width="33" style="986" customWidth="1"/>
    <col min="3859" max="3859" width="15" style="986" customWidth="1"/>
    <col min="3860" max="3861" width="14.5703125" style="986" bestFit="1" customWidth="1"/>
    <col min="3862" max="3862" width="10.5703125" style="986" bestFit="1" customWidth="1"/>
    <col min="3863" max="4096" width="10" style="986"/>
    <col min="4097" max="4097" width="9.42578125" style="986" customWidth="1"/>
    <col min="4098" max="4098" width="20.85546875" style="986" customWidth="1"/>
    <col min="4099" max="4099" width="35.5703125" style="986" customWidth="1"/>
    <col min="4100" max="4100" width="12.85546875" style="986" customWidth="1"/>
    <col min="4101" max="4101" width="10.42578125" style="986" customWidth="1"/>
    <col min="4102" max="4102" width="16.42578125" style="986" customWidth="1"/>
    <col min="4103" max="4103" width="12" style="986" customWidth="1"/>
    <col min="4104" max="4104" width="14.28515625" style="986" bestFit="1" customWidth="1"/>
    <col min="4105" max="4105" width="18.85546875" style="986" customWidth="1"/>
    <col min="4106" max="4106" width="15.5703125" style="986" customWidth="1"/>
    <col min="4107" max="4107" width="16.140625" style="986" customWidth="1"/>
    <col min="4108" max="4109" width="15" style="986" customWidth="1"/>
    <col min="4110" max="4110" width="13.5703125" style="986" customWidth="1"/>
    <col min="4111" max="4111" width="15" style="986" customWidth="1"/>
    <col min="4112" max="4113" width="17.5703125" style="986" customWidth="1"/>
    <col min="4114" max="4114" width="33" style="986" customWidth="1"/>
    <col min="4115" max="4115" width="15" style="986" customWidth="1"/>
    <col min="4116" max="4117" width="14.5703125" style="986" bestFit="1" customWidth="1"/>
    <col min="4118" max="4118" width="10.5703125" style="986" bestFit="1" customWidth="1"/>
    <col min="4119" max="4352" width="10" style="986"/>
    <col min="4353" max="4353" width="9.42578125" style="986" customWidth="1"/>
    <col min="4354" max="4354" width="20.85546875" style="986" customWidth="1"/>
    <col min="4355" max="4355" width="35.5703125" style="986" customWidth="1"/>
    <col min="4356" max="4356" width="12.85546875" style="986" customWidth="1"/>
    <col min="4357" max="4357" width="10.42578125" style="986" customWidth="1"/>
    <col min="4358" max="4358" width="16.42578125" style="986" customWidth="1"/>
    <col min="4359" max="4359" width="12" style="986" customWidth="1"/>
    <col min="4360" max="4360" width="14.28515625" style="986" bestFit="1" customWidth="1"/>
    <col min="4361" max="4361" width="18.85546875" style="986" customWidth="1"/>
    <col min="4362" max="4362" width="15.5703125" style="986" customWidth="1"/>
    <col min="4363" max="4363" width="16.140625" style="986" customWidth="1"/>
    <col min="4364" max="4365" width="15" style="986" customWidth="1"/>
    <col min="4366" max="4366" width="13.5703125" style="986" customWidth="1"/>
    <col min="4367" max="4367" width="15" style="986" customWidth="1"/>
    <col min="4368" max="4369" width="17.5703125" style="986" customWidth="1"/>
    <col min="4370" max="4370" width="33" style="986" customWidth="1"/>
    <col min="4371" max="4371" width="15" style="986" customWidth="1"/>
    <col min="4372" max="4373" width="14.5703125" style="986" bestFit="1" customWidth="1"/>
    <col min="4374" max="4374" width="10.5703125" style="986" bestFit="1" customWidth="1"/>
    <col min="4375" max="4608" width="10" style="986"/>
    <col min="4609" max="4609" width="9.42578125" style="986" customWidth="1"/>
    <col min="4610" max="4610" width="20.85546875" style="986" customWidth="1"/>
    <col min="4611" max="4611" width="35.5703125" style="986" customWidth="1"/>
    <col min="4612" max="4612" width="12.85546875" style="986" customWidth="1"/>
    <col min="4613" max="4613" width="10.42578125" style="986" customWidth="1"/>
    <col min="4614" max="4614" width="16.42578125" style="986" customWidth="1"/>
    <col min="4615" max="4615" width="12" style="986" customWidth="1"/>
    <col min="4616" max="4616" width="14.28515625" style="986" bestFit="1" customWidth="1"/>
    <col min="4617" max="4617" width="18.85546875" style="986" customWidth="1"/>
    <col min="4618" max="4618" width="15.5703125" style="986" customWidth="1"/>
    <col min="4619" max="4619" width="16.140625" style="986" customWidth="1"/>
    <col min="4620" max="4621" width="15" style="986" customWidth="1"/>
    <col min="4622" max="4622" width="13.5703125" style="986" customWidth="1"/>
    <col min="4623" max="4623" width="15" style="986" customWidth="1"/>
    <col min="4624" max="4625" width="17.5703125" style="986" customWidth="1"/>
    <col min="4626" max="4626" width="33" style="986" customWidth="1"/>
    <col min="4627" max="4627" width="15" style="986" customWidth="1"/>
    <col min="4628" max="4629" width="14.5703125" style="986" bestFit="1" customWidth="1"/>
    <col min="4630" max="4630" width="10.5703125" style="986" bestFit="1" customWidth="1"/>
    <col min="4631" max="4864" width="10" style="986"/>
    <col min="4865" max="4865" width="9.42578125" style="986" customWidth="1"/>
    <col min="4866" max="4866" width="20.85546875" style="986" customWidth="1"/>
    <col min="4867" max="4867" width="35.5703125" style="986" customWidth="1"/>
    <col min="4868" max="4868" width="12.85546875" style="986" customWidth="1"/>
    <col min="4869" max="4869" width="10.42578125" style="986" customWidth="1"/>
    <col min="4870" max="4870" width="16.42578125" style="986" customWidth="1"/>
    <col min="4871" max="4871" width="12" style="986" customWidth="1"/>
    <col min="4872" max="4872" width="14.28515625" style="986" bestFit="1" customWidth="1"/>
    <col min="4873" max="4873" width="18.85546875" style="986" customWidth="1"/>
    <col min="4874" max="4874" width="15.5703125" style="986" customWidth="1"/>
    <col min="4875" max="4875" width="16.140625" style="986" customWidth="1"/>
    <col min="4876" max="4877" width="15" style="986" customWidth="1"/>
    <col min="4878" max="4878" width="13.5703125" style="986" customWidth="1"/>
    <col min="4879" max="4879" width="15" style="986" customWidth="1"/>
    <col min="4880" max="4881" width="17.5703125" style="986" customWidth="1"/>
    <col min="4882" max="4882" width="33" style="986" customWidth="1"/>
    <col min="4883" max="4883" width="15" style="986" customWidth="1"/>
    <col min="4884" max="4885" width="14.5703125" style="986" bestFit="1" customWidth="1"/>
    <col min="4886" max="4886" width="10.5703125" style="986" bestFit="1" customWidth="1"/>
    <col min="4887" max="5120" width="10" style="986"/>
    <col min="5121" max="5121" width="9.42578125" style="986" customWidth="1"/>
    <col min="5122" max="5122" width="20.85546875" style="986" customWidth="1"/>
    <col min="5123" max="5123" width="35.5703125" style="986" customWidth="1"/>
    <col min="5124" max="5124" width="12.85546875" style="986" customWidth="1"/>
    <col min="5125" max="5125" width="10.42578125" style="986" customWidth="1"/>
    <col min="5126" max="5126" width="16.42578125" style="986" customWidth="1"/>
    <col min="5127" max="5127" width="12" style="986" customWidth="1"/>
    <col min="5128" max="5128" width="14.28515625" style="986" bestFit="1" customWidth="1"/>
    <col min="5129" max="5129" width="18.85546875" style="986" customWidth="1"/>
    <col min="5130" max="5130" width="15.5703125" style="986" customWidth="1"/>
    <col min="5131" max="5131" width="16.140625" style="986" customWidth="1"/>
    <col min="5132" max="5133" width="15" style="986" customWidth="1"/>
    <col min="5134" max="5134" width="13.5703125" style="986" customWidth="1"/>
    <col min="5135" max="5135" width="15" style="986" customWidth="1"/>
    <col min="5136" max="5137" width="17.5703125" style="986" customWidth="1"/>
    <col min="5138" max="5138" width="33" style="986" customWidth="1"/>
    <col min="5139" max="5139" width="15" style="986" customWidth="1"/>
    <col min="5140" max="5141" width="14.5703125" style="986" bestFit="1" customWidth="1"/>
    <col min="5142" max="5142" width="10.5703125" style="986" bestFit="1" customWidth="1"/>
    <col min="5143" max="5376" width="10" style="986"/>
    <col min="5377" max="5377" width="9.42578125" style="986" customWidth="1"/>
    <col min="5378" max="5378" width="20.85546875" style="986" customWidth="1"/>
    <col min="5379" max="5379" width="35.5703125" style="986" customWidth="1"/>
    <col min="5380" max="5380" width="12.85546875" style="986" customWidth="1"/>
    <col min="5381" max="5381" width="10.42578125" style="986" customWidth="1"/>
    <col min="5382" max="5382" width="16.42578125" style="986" customWidth="1"/>
    <col min="5383" max="5383" width="12" style="986" customWidth="1"/>
    <col min="5384" max="5384" width="14.28515625" style="986" bestFit="1" customWidth="1"/>
    <col min="5385" max="5385" width="18.85546875" style="986" customWidth="1"/>
    <col min="5386" max="5386" width="15.5703125" style="986" customWidth="1"/>
    <col min="5387" max="5387" width="16.140625" style="986" customWidth="1"/>
    <col min="5388" max="5389" width="15" style="986" customWidth="1"/>
    <col min="5390" max="5390" width="13.5703125" style="986" customWidth="1"/>
    <col min="5391" max="5391" width="15" style="986" customWidth="1"/>
    <col min="5392" max="5393" width="17.5703125" style="986" customWidth="1"/>
    <col min="5394" max="5394" width="33" style="986" customWidth="1"/>
    <col min="5395" max="5395" width="15" style="986" customWidth="1"/>
    <col min="5396" max="5397" width="14.5703125" style="986" bestFit="1" customWidth="1"/>
    <col min="5398" max="5398" width="10.5703125" style="986" bestFit="1" customWidth="1"/>
    <col min="5399" max="5632" width="10" style="986"/>
    <col min="5633" max="5633" width="9.42578125" style="986" customWidth="1"/>
    <col min="5634" max="5634" width="20.85546875" style="986" customWidth="1"/>
    <col min="5635" max="5635" width="35.5703125" style="986" customWidth="1"/>
    <col min="5636" max="5636" width="12.85546875" style="986" customWidth="1"/>
    <col min="5637" max="5637" width="10.42578125" style="986" customWidth="1"/>
    <col min="5638" max="5638" width="16.42578125" style="986" customWidth="1"/>
    <col min="5639" max="5639" width="12" style="986" customWidth="1"/>
    <col min="5640" max="5640" width="14.28515625" style="986" bestFit="1" customWidth="1"/>
    <col min="5641" max="5641" width="18.85546875" style="986" customWidth="1"/>
    <col min="5642" max="5642" width="15.5703125" style="986" customWidth="1"/>
    <col min="5643" max="5643" width="16.140625" style="986" customWidth="1"/>
    <col min="5644" max="5645" width="15" style="986" customWidth="1"/>
    <col min="5646" max="5646" width="13.5703125" style="986" customWidth="1"/>
    <col min="5647" max="5647" width="15" style="986" customWidth="1"/>
    <col min="5648" max="5649" width="17.5703125" style="986" customWidth="1"/>
    <col min="5650" max="5650" width="33" style="986" customWidth="1"/>
    <col min="5651" max="5651" width="15" style="986" customWidth="1"/>
    <col min="5652" max="5653" width="14.5703125" style="986" bestFit="1" customWidth="1"/>
    <col min="5654" max="5654" width="10.5703125" style="986" bestFit="1" customWidth="1"/>
    <col min="5655" max="5888" width="10" style="986"/>
    <col min="5889" max="5889" width="9.42578125" style="986" customWidth="1"/>
    <col min="5890" max="5890" width="20.85546875" style="986" customWidth="1"/>
    <col min="5891" max="5891" width="35.5703125" style="986" customWidth="1"/>
    <col min="5892" max="5892" width="12.85546875" style="986" customWidth="1"/>
    <col min="5893" max="5893" width="10.42578125" style="986" customWidth="1"/>
    <col min="5894" max="5894" width="16.42578125" style="986" customWidth="1"/>
    <col min="5895" max="5895" width="12" style="986" customWidth="1"/>
    <col min="5896" max="5896" width="14.28515625" style="986" bestFit="1" customWidth="1"/>
    <col min="5897" max="5897" width="18.85546875" style="986" customWidth="1"/>
    <col min="5898" max="5898" width="15.5703125" style="986" customWidth="1"/>
    <col min="5899" max="5899" width="16.140625" style="986" customWidth="1"/>
    <col min="5900" max="5901" width="15" style="986" customWidth="1"/>
    <col min="5902" max="5902" width="13.5703125" style="986" customWidth="1"/>
    <col min="5903" max="5903" width="15" style="986" customWidth="1"/>
    <col min="5904" max="5905" width="17.5703125" style="986" customWidth="1"/>
    <col min="5906" max="5906" width="33" style="986" customWidth="1"/>
    <col min="5907" max="5907" width="15" style="986" customWidth="1"/>
    <col min="5908" max="5909" width="14.5703125" style="986" bestFit="1" customWidth="1"/>
    <col min="5910" max="5910" width="10.5703125" style="986" bestFit="1" customWidth="1"/>
    <col min="5911" max="6144" width="10" style="986"/>
    <col min="6145" max="6145" width="9.42578125" style="986" customWidth="1"/>
    <col min="6146" max="6146" width="20.85546875" style="986" customWidth="1"/>
    <col min="6147" max="6147" width="35.5703125" style="986" customWidth="1"/>
    <col min="6148" max="6148" width="12.85546875" style="986" customWidth="1"/>
    <col min="6149" max="6149" width="10.42578125" style="986" customWidth="1"/>
    <col min="6150" max="6150" width="16.42578125" style="986" customWidth="1"/>
    <col min="6151" max="6151" width="12" style="986" customWidth="1"/>
    <col min="6152" max="6152" width="14.28515625" style="986" bestFit="1" customWidth="1"/>
    <col min="6153" max="6153" width="18.85546875" style="986" customWidth="1"/>
    <col min="6154" max="6154" width="15.5703125" style="986" customWidth="1"/>
    <col min="6155" max="6155" width="16.140625" style="986" customWidth="1"/>
    <col min="6156" max="6157" width="15" style="986" customWidth="1"/>
    <col min="6158" max="6158" width="13.5703125" style="986" customWidth="1"/>
    <col min="6159" max="6159" width="15" style="986" customWidth="1"/>
    <col min="6160" max="6161" width="17.5703125" style="986" customWidth="1"/>
    <col min="6162" max="6162" width="33" style="986" customWidth="1"/>
    <col min="6163" max="6163" width="15" style="986" customWidth="1"/>
    <col min="6164" max="6165" width="14.5703125" style="986" bestFit="1" customWidth="1"/>
    <col min="6166" max="6166" width="10.5703125" style="986" bestFit="1" customWidth="1"/>
    <col min="6167" max="6400" width="10" style="986"/>
    <col min="6401" max="6401" width="9.42578125" style="986" customWidth="1"/>
    <col min="6402" max="6402" width="20.85546875" style="986" customWidth="1"/>
    <col min="6403" max="6403" width="35.5703125" style="986" customWidth="1"/>
    <col min="6404" max="6404" width="12.85546875" style="986" customWidth="1"/>
    <col min="6405" max="6405" width="10.42578125" style="986" customWidth="1"/>
    <col min="6406" max="6406" width="16.42578125" style="986" customWidth="1"/>
    <col min="6407" max="6407" width="12" style="986" customWidth="1"/>
    <col min="6408" max="6408" width="14.28515625" style="986" bestFit="1" customWidth="1"/>
    <col min="6409" max="6409" width="18.85546875" style="986" customWidth="1"/>
    <col min="6410" max="6410" width="15.5703125" style="986" customWidth="1"/>
    <col min="6411" max="6411" width="16.140625" style="986" customWidth="1"/>
    <col min="6412" max="6413" width="15" style="986" customWidth="1"/>
    <col min="6414" max="6414" width="13.5703125" style="986" customWidth="1"/>
    <col min="6415" max="6415" width="15" style="986" customWidth="1"/>
    <col min="6416" max="6417" width="17.5703125" style="986" customWidth="1"/>
    <col min="6418" max="6418" width="33" style="986" customWidth="1"/>
    <col min="6419" max="6419" width="15" style="986" customWidth="1"/>
    <col min="6420" max="6421" width="14.5703125" style="986" bestFit="1" customWidth="1"/>
    <col min="6422" max="6422" width="10.5703125" style="986" bestFit="1" customWidth="1"/>
    <col min="6423" max="6656" width="10" style="986"/>
    <col min="6657" max="6657" width="9.42578125" style="986" customWidth="1"/>
    <col min="6658" max="6658" width="20.85546875" style="986" customWidth="1"/>
    <col min="6659" max="6659" width="35.5703125" style="986" customWidth="1"/>
    <col min="6660" max="6660" width="12.85546875" style="986" customWidth="1"/>
    <col min="6661" max="6661" width="10.42578125" style="986" customWidth="1"/>
    <col min="6662" max="6662" width="16.42578125" style="986" customWidth="1"/>
    <col min="6663" max="6663" width="12" style="986" customWidth="1"/>
    <col min="6664" max="6664" width="14.28515625" style="986" bestFit="1" customWidth="1"/>
    <col min="6665" max="6665" width="18.85546875" style="986" customWidth="1"/>
    <col min="6666" max="6666" width="15.5703125" style="986" customWidth="1"/>
    <col min="6667" max="6667" width="16.140625" style="986" customWidth="1"/>
    <col min="6668" max="6669" width="15" style="986" customWidth="1"/>
    <col min="6670" max="6670" width="13.5703125" style="986" customWidth="1"/>
    <col min="6671" max="6671" width="15" style="986" customWidth="1"/>
    <col min="6672" max="6673" width="17.5703125" style="986" customWidth="1"/>
    <col min="6674" max="6674" width="33" style="986" customWidth="1"/>
    <col min="6675" max="6675" width="15" style="986" customWidth="1"/>
    <col min="6676" max="6677" width="14.5703125" style="986" bestFit="1" customWidth="1"/>
    <col min="6678" max="6678" width="10.5703125" style="986" bestFit="1" customWidth="1"/>
    <col min="6679" max="6912" width="10" style="986"/>
    <col min="6913" max="6913" width="9.42578125" style="986" customWidth="1"/>
    <col min="6914" max="6914" width="20.85546875" style="986" customWidth="1"/>
    <col min="6915" max="6915" width="35.5703125" style="986" customWidth="1"/>
    <col min="6916" max="6916" width="12.85546875" style="986" customWidth="1"/>
    <col min="6917" max="6917" width="10.42578125" style="986" customWidth="1"/>
    <col min="6918" max="6918" width="16.42578125" style="986" customWidth="1"/>
    <col min="6919" max="6919" width="12" style="986" customWidth="1"/>
    <col min="6920" max="6920" width="14.28515625" style="986" bestFit="1" customWidth="1"/>
    <col min="6921" max="6921" width="18.85546875" style="986" customWidth="1"/>
    <col min="6922" max="6922" width="15.5703125" style="986" customWidth="1"/>
    <col min="6923" max="6923" width="16.140625" style="986" customWidth="1"/>
    <col min="6924" max="6925" width="15" style="986" customWidth="1"/>
    <col min="6926" max="6926" width="13.5703125" style="986" customWidth="1"/>
    <col min="6927" max="6927" width="15" style="986" customWidth="1"/>
    <col min="6928" max="6929" width="17.5703125" style="986" customWidth="1"/>
    <col min="6930" max="6930" width="33" style="986" customWidth="1"/>
    <col min="6931" max="6931" width="15" style="986" customWidth="1"/>
    <col min="6932" max="6933" width="14.5703125" style="986" bestFit="1" customWidth="1"/>
    <col min="6934" max="6934" width="10.5703125" style="986" bestFit="1" customWidth="1"/>
    <col min="6935" max="7168" width="10" style="986"/>
    <col min="7169" max="7169" width="9.42578125" style="986" customWidth="1"/>
    <col min="7170" max="7170" width="20.85546875" style="986" customWidth="1"/>
    <col min="7171" max="7171" width="35.5703125" style="986" customWidth="1"/>
    <col min="7172" max="7172" width="12.85546875" style="986" customWidth="1"/>
    <col min="7173" max="7173" width="10.42578125" style="986" customWidth="1"/>
    <col min="7174" max="7174" width="16.42578125" style="986" customWidth="1"/>
    <col min="7175" max="7175" width="12" style="986" customWidth="1"/>
    <col min="7176" max="7176" width="14.28515625" style="986" bestFit="1" customWidth="1"/>
    <col min="7177" max="7177" width="18.85546875" style="986" customWidth="1"/>
    <col min="7178" max="7178" width="15.5703125" style="986" customWidth="1"/>
    <col min="7179" max="7179" width="16.140625" style="986" customWidth="1"/>
    <col min="7180" max="7181" width="15" style="986" customWidth="1"/>
    <col min="7182" max="7182" width="13.5703125" style="986" customWidth="1"/>
    <col min="7183" max="7183" width="15" style="986" customWidth="1"/>
    <col min="7184" max="7185" width="17.5703125" style="986" customWidth="1"/>
    <col min="7186" max="7186" width="33" style="986" customWidth="1"/>
    <col min="7187" max="7187" width="15" style="986" customWidth="1"/>
    <col min="7188" max="7189" width="14.5703125" style="986" bestFit="1" customWidth="1"/>
    <col min="7190" max="7190" width="10.5703125" style="986" bestFit="1" customWidth="1"/>
    <col min="7191" max="7424" width="10" style="986"/>
    <col min="7425" max="7425" width="9.42578125" style="986" customWidth="1"/>
    <col min="7426" max="7426" width="20.85546875" style="986" customWidth="1"/>
    <col min="7427" max="7427" width="35.5703125" style="986" customWidth="1"/>
    <col min="7428" max="7428" width="12.85546875" style="986" customWidth="1"/>
    <col min="7429" max="7429" width="10.42578125" style="986" customWidth="1"/>
    <col min="7430" max="7430" width="16.42578125" style="986" customWidth="1"/>
    <col min="7431" max="7431" width="12" style="986" customWidth="1"/>
    <col min="7432" max="7432" width="14.28515625" style="986" bestFit="1" customWidth="1"/>
    <col min="7433" max="7433" width="18.85546875" style="986" customWidth="1"/>
    <col min="7434" max="7434" width="15.5703125" style="986" customWidth="1"/>
    <col min="7435" max="7435" width="16.140625" style="986" customWidth="1"/>
    <col min="7436" max="7437" width="15" style="986" customWidth="1"/>
    <col min="7438" max="7438" width="13.5703125" style="986" customWidth="1"/>
    <col min="7439" max="7439" width="15" style="986" customWidth="1"/>
    <col min="7440" max="7441" width="17.5703125" style="986" customWidth="1"/>
    <col min="7442" max="7442" width="33" style="986" customWidth="1"/>
    <col min="7443" max="7443" width="15" style="986" customWidth="1"/>
    <col min="7444" max="7445" width="14.5703125" style="986" bestFit="1" customWidth="1"/>
    <col min="7446" max="7446" width="10.5703125" style="986" bestFit="1" customWidth="1"/>
    <col min="7447" max="7680" width="10" style="986"/>
    <col min="7681" max="7681" width="9.42578125" style="986" customWidth="1"/>
    <col min="7682" max="7682" width="20.85546875" style="986" customWidth="1"/>
    <col min="7683" max="7683" width="35.5703125" style="986" customWidth="1"/>
    <col min="7684" max="7684" width="12.85546875" style="986" customWidth="1"/>
    <col min="7685" max="7685" width="10.42578125" style="986" customWidth="1"/>
    <col min="7686" max="7686" width="16.42578125" style="986" customWidth="1"/>
    <col min="7687" max="7687" width="12" style="986" customWidth="1"/>
    <col min="7688" max="7688" width="14.28515625" style="986" bestFit="1" customWidth="1"/>
    <col min="7689" max="7689" width="18.85546875" style="986" customWidth="1"/>
    <col min="7690" max="7690" width="15.5703125" style="986" customWidth="1"/>
    <col min="7691" max="7691" width="16.140625" style="986" customWidth="1"/>
    <col min="7692" max="7693" width="15" style="986" customWidth="1"/>
    <col min="7694" max="7694" width="13.5703125" style="986" customWidth="1"/>
    <col min="7695" max="7695" width="15" style="986" customWidth="1"/>
    <col min="7696" max="7697" width="17.5703125" style="986" customWidth="1"/>
    <col min="7698" max="7698" width="33" style="986" customWidth="1"/>
    <col min="7699" max="7699" width="15" style="986" customWidth="1"/>
    <col min="7700" max="7701" width="14.5703125" style="986" bestFit="1" customWidth="1"/>
    <col min="7702" max="7702" width="10.5703125" style="986" bestFit="1" customWidth="1"/>
    <col min="7703" max="7936" width="10" style="986"/>
    <col min="7937" max="7937" width="9.42578125" style="986" customWidth="1"/>
    <col min="7938" max="7938" width="20.85546875" style="986" customWidth="1"/>
    <col min="7939" max="7939" width="35.5703125" style="986" customWidth="1"/>
    <col min="7940" max="7940" width="12.85546875" style="986" customWidth="1"/>
    <col min="7941" max="7941" width="10.42578125" style="986" customWidth="1"/>
    <col min="7942" max="7942" width="16.42578125" style="986" customWidth="1"/>
    <col min="7943" max="7943" width="12" style="986" customWidth="1"/>
    <col min="7944" max="7944" width="14.28515625" style="986" bestFit="1" customWidth="1"/>
    <col min="7945" max="7945" width="18.85546875" style="986" customWidth="1"/>
    <col min="7946" max="7946" width="15.5703125" style="986" customWidth="1"/>
    <col min="7947" max="7947" width="16.140625" style="986" customWidth="1"/>
    <col min="7948" max="7949" width="15" style="986" customWidth="1"/>
    <col min="7950" max="7950" width="13.5703125" style="986" customWidth="1"/>
    <col min="7951" max="7951" width="15" style="986" customWidth="1"/>
    <col min="7952" max="7953" width="17.5703125" style="986" customWidth="1"/>
    <col min="7954" max="7954" width="33" style="986" customWidth="1"/>
    <col min="7955" max="7955" width="15" style="986" customWidth="1"/>
    <col min="7956" max="7957" width="14.5703125" style="986" bestFit="1" customWidth="1"/>
    <col min="7958" max="7958" width="10.5703125" style="986" bestFit="1" customWidth="1"/>
    <col min="7959" max="8192" width="10" style="986"/>
    <col min="8193" max="8193" width="9.42578125" style="986" customWidth="1"/>
    <col min="8194" max="8194" width="20.85546875" style="986" customWidth="1"/>
    <col min="8195" max="8195" width="35.5703125" style="986" customWidth="1"/>
    <col min="8196" max="8196" width="12.85546875" style="986" customWidth="1"/>
    <col min="8197" max="8197" width="10.42578125" style="986" customWidth="1"/>
    <col min="8198" max="8198" width="16.42578125" style="986" customWidth="1"/>
    <col min="8199" max="8199" width="12" style="986" customWidth="1"/>
    <col min="8200" max="8200" width="14.28515625" style="986" bestFit="1" customWidth="1"/>
    <col min="8201" max="8201" width="18.85546875" style="986" customWidth="1"/>
    <col min="8202" max="8202" width="15.5703125" style="986" customWidth="1"/>
    <col min="8203" max="8203" width="16.140625" style="986" customWidth="1"/>
    <col min="8204" max="8205" width="15" style="986" customWidth="1"/>
    <col min="8206" max="8206" width="13.5703125" style="986" customWidth="1"/>
    <col min="8207" max="8207" width="15" style="986" customWidth="1"/>
    <col min="8208" max="8209" width="17.5703125" style="986" customWidth="1"/>
    <col min="8210" max="8210" width="33" style="986" customWidth="1"/>
    <col min="8211" max="8211" width="15" style="986" customWidth="1"/>
    <col min="8212" max="8213" width="14.5703125" style="986" bestFit="1" customWidth="1"/>
    <col min="8214" max="8214" width="10.5703125" style="986" bestFit="1" customWidth="1"/>
    <col min="8215" max="8448" width="10" style="986"/>
    <col min="8449" max="8449" width="9.42578125" style="986" customWidth="1"/>
    <col min="8450" max="8450" width="20.85546875" style="986" customWidth="1"/>
    <col min="8451" max="8451" width="35.5703125" style="986" customWidth="1"/>
    <col min="8452" max="8452" width="12.85546875" style="986" customWidth="1"/>
    <col min="8453" max="8453" width="10.42578125" style="986" customWidth="1"/>
    <col min="8454" max="8454" width="16.42578125" style="986" customWidth="1"/>
    <col min="8455" max="8455" width="12" style="986" customWidth="1"/>
    <col min="8456" max="8456" width="14.28515625" style="986" bestFit="1" customWidth="1"/>
    <col min="8457" max="8457" width="18.85546875" style="986" customWidth="1"/>
    <col min="8458" max="8458" width="15.5703125" style="986" customWidth="1"/>
    <col min="8459" max="8459" width="16.140625" style="986" customWidth="1"/>
    <col min="8460" max="8461" width="15" style="986" customWidth="1"/>
    <col min="8462" max="8462" width="13.5703125" style="986" customWidth="1"/>
    <col min="8463" max="8463" width="15" style="986" customWidth="1"/>
    <col min="8464" max="8465" width="17.5703125" style="986" customWidth="1"/>
    <col min="8466" max="8466" width="33" style="986" customWidth="1"/>
    <col min="8467" max="8467" width="15" style="986" customWidth="1"/>
    <col min="8468" max="8469" width="14.5703125" style="986" bestFit="1" customWidth="1"/>
    <col min="8470" max="8470" width="10.5703125" style="986" bestFit="1" customWidth="1"/>
    <col min="8471" max="8704" width="10" style="986"/>
    <col min="8705" max="8705" width="9.42578125" style="986" customWidth="1"/>
    <col min="8706" max="8706" width="20.85546875" style="986" customWidth="1"/>
    <col min="8707" max="8707" width="35.5703125" style="986" customWidth="1"/>
    <col min="8708" max="8708" width="12.85546875" style="986" customWidth="1"/>
    <col min="8709" max="8709" width="10.42578125" style="986" customWidth="1"/>
    <col min="8710" max="8710" width="16.42578125" style="986" customWidth="1"/>
    <col min="8711" max="8711" width="12" style="986" customWidth="1"/>
    <col min="8712" max="8712" width="14.28515625" style="986" bestFit="1" customWidth="1"/>
    <col min="8713" max="8713" width="18.85546875" style="986" customWidth="1"/>
    <col min="8714" max="8714" width="15.5703125" style="986" customWidth="1"/>
    <col min="8715" max="8715" width="16.140625" style="986" customWidth="1"/>
    <col min="8716" max="8717" width="15" style="986" customWidth="1"/>
    <col min="8718" max="8718" width="13.5703125" style="986" customWidth="1"/>
    <col min="8719" max="8719" width="15" style="986" customWidth="1"/>
    <col min="8720" max="8721" width="17.5703125" style="986" customWidth="1"/>
    <col min="8722" max="8722" width="33" style="986" customWidth="1"/>
    <col min="8723" max="8723" width="15" style="986" customWidth="1"/>
    <col min="8724" max="8725" width="14.5703125" style="986" bestFit="1" customWidth="1"/>
    <col min="8726" max="8726" width="10.5703125" style="986" bestFit="1" customWidth="1"/>
    <col min="8727" max="8960" width="10" style="986"/>
    <col min="8961" max="8961" width="9.42578125" style="986" customWidth="1"/>
    <col min="8962" max="8962" width="20.85546875" style="986" customWidth="1"/>
    <col min="8963" max="8963" width="35.5703125" style="986" customWidth="1"/>
    <col min="8964" max="8964" width="12.85546875" style="986" customWidth="1"/>
    <col min="8965" max="8965" width="10.42578125" style="986" customWidth="1"/>
    <col min="8966" max="8966" width="16.42578125" style="986" customWidth="1"/>
    <col min="8967" max="8967" width="12" style="986" customWidth="1"/>
    <col min="8968" max="8968" width="14.28515625" style="986" bestFit="1" customWidth="1"/>
    <col min="8969" max="8969" width="18.85546875" style="986" customWidth="1"/>
    <col min="8970" max="8970" width="15.5703125" style="986" customWidth="1"/>
    <col min="8971" max="8971" width="16.140625" style="986" customWidth="1"/>
    <col min="8972" max="8973" width="15" style="986" customWidth="1"/>
    <col min="8974" max="8974" width="13.5703125" style="986" customWidth="1"/>
    <col min="8975" max="8975" width="15" style="986" customWidth="1"/>
    <col min="8976" max="8977" width="17.5703125" style="986" customWidth="1"/>
    <col min="8978" max="8978" width="33" style="986" customWidth="1"/>
    <col min="8979" max="8979" width="15" style="986" customWidth="1"/>
    <col min="8980" max="8981" width="14.5703125" style="986" bestFit="1" customWidth="1"/>
    <col min="8982" max="8982" width="10.5703125" style="986" bestFit="1" customWidth="1"/>
    <col min="8983" max="9216" width="10" style="986"/>
    <col min="9217" max="9217" width="9.42578125" style="986" customWidth="1"/>
    <col min="9218" max="9218" width="20.85546875" style="986" customWidth="1"/>
    <col min="9219" max="9219" width="35.5703125" style="986" customWidth="1"/>
    <col min="9220" max="9220" width="12.85546875" style="986" customWidth="1"/>
    <col min="9221" max="9221" width="10.42578125" style="986" customWidth="1"/>
    <col min="9222" max="9222" width="16.42578125" style="986" customWidth="1"/>
    <col min="9223" max="9223" width="12" style="986" customWidth="1"/>
    <col min="9224" max="9224" width="14.28515625" style="986" bestFit="1" customWidth="1"/>
    <col min="9225" max="9225" width="18.85546875" style="986" customWidth="1"/>
    <col min="9226" max="9226" width="15.5703125" style="986" customWidth="1"/>
    <col min="9227" max="9227" width="16.140625" style="986" customWidth="1"/>
    <col min="9228" max="9229" width="15" style="986" customWidth="1"/>
    <col min="9230" max="9230" width="13.5703125" style="986" customWidth="1"/>
    <col min="9231" max="9231" width="15" style="986" customWidth="1"/>
    <col min="9232" max="9233" width="17.5703125" style="986" customWidth="1"/>
    <col min="9234" max="9234" width="33" style="986" customWidth="1"/>
    <col min="9235" max="9235" width="15" style="986" customWidth="1"/>
    <col min="9236" max="9237" width="14.5703125" style="986" bestFit="1" customWidth="1"/>
    <col min="9238" max="9238" width="10.5703125" style="986" bestFit="1" customWidth="1"/>
    <col min="9239" max="9472" width="10" style="986"/>
    <col min="9473" max="9473" width="9.42578125" style="986" customWidth="1"/>
    <col min="9474" max="9474" width="20.85546875" style="986" customWidth="1"/>
    <col min="9475" max="9475" width="35.5703125" style="986" customWidth="1"/>
    <col min="9476" max="9476" width="12.85546875" style="986" customWidth="1"/>
    <col min="9477" max="9477" width="10.42578125" style="986" customWidth="1"/>
    <col min="9478" max="9478" width="16.42578125" style="986" customWidth="1"/>
    <col min="9479" max="9479" width="12" style="986" customWidth="1"/>
    <col min="9480" max="9480" width="14.28515625" style="986" bestFit="1" customWidth="1"/>
    <col min="9481" max="9481" width="18.85546875" style="986" customWidth="1"/>
    <col min="9482" max="9482" width="15.5703125" style="986" customWidth="1"/>
    <col min="9483" max="9483" width="16.140625" style="986" customWidth="1"/>
    <col min="9484" max="9485" width="15" style="986" customWidth="1"/>
    <col min="9486" max="9486" width="13.5703125" style="986" customWidth="1"/>
    <col min="9487" max="9487" width="15" style="986" customWidth="1"/>
    <col min="9488" max="9489" width="17.5703125" style="986" customWidth="1"/>
    <col min="9490" max="9490" width="33" style="986" customWidth="1"/>
    <col min="9491" max="9491" width="15" style="986" customWidth="1"/>
    <col min="9492" max="9493" width="14.5703125" style="986" bestFit="1" customWidth="1"/>
    <col min="9494" max="9494" width="10.5703125" style="986" bestFit="1" customWidth="1"/>
    <col min="9495" max="9728" width="10" style="986"/>
    <col min="9729" max="9729" width="9.42578125" style="986" customWidth="1"/>
    <col min="9730" max="9730" width="20.85546875" style="986" customWidth="1"/>
    <col min="9731" max="9731" width="35.5703125" style="986" customWidth="1"/>
    <col min="9732" max="9732" width="12.85546875" style="986" customWidth="1"/>
    <col min="9733" max="9733" width="10.42578125" style="986" customWidth="1"/>
    <col min="9734" max="9734" width="16.42578125" style="986" customWidth="1"/>
    <col min="9735" max="9735" width="12" style="986" customWidth="1"/>
    <col min="9736" max="9736" width="14.28515625" style="986" bestFit="1" customWidth="1"/>
    <col min="9737" max="9737" width="18.85546875" style="986" customWidth="1"/>
    <col min="9738" max="9738" width="15.5703125" style="986" customWidth="1"/>
    <col min="9739" max="9739" width="16.140625" style="986" customWidth="1"/>
    <col min="9740" max="9741" width="15" style="986" customWidth="1"/>
    <col min="9742" max="9742" width="13.5703125" style="986" customWidth="1"/>
    <col min="9743" max="9743" width="15" style="986" customWidth="1"/>
    <col min="9744" max="9745" width="17.5703125" style="986" customWidth="1"/>
    <col min="9746" max="9746" width="33" style="986" customWidth="1"/>
    <col min="9747" max="9747" width="15" style="986" customWidth="1"/>
    <col min="9748" max="9749" width="14.5703125" style="986" bestFit="1" customWidth="1"/>
    <col min="9750" max="9750" width="10.5703125" style="986" bestFit="1" customWidth="1"/>
    <col min="9751" max="9984" width="10" style="986"/>
    <col min="9985" max="9985" width="9.42578125" style="986" customWidth="1"/>
    <col min="9986" max="9986" width="20.85546875" style="986" customWidth="1"/>
    <col min="9987" max="9987" width="35.5703125" style="986" customWidth="1"/>
    <col min="9988" max="9988" width="12.85546875" style="986" customWidth="1"/>
    <col min="9989" max="9989" width="10.42578125" style="986" customWidth="1"/>
    <col min="9990" max="9990" width="16.42578125" style="986" customWidth="1"/>
    <col min="9991" max="9991" width="12" style="986" customWidth="1"/>
    <col min="9992" max="9992" width="14.28515625" style="986" bestFit="1" customWidth="1"/>
    <col min="9993" max="9993" width="18.85546875" style="986" customWidth="1"/>
    <col min="9994" max="9994" width="15.5703125" style="986" customWidth="1"/>
    <col min="9995" max="9995" width="16.140625" style="986" customWidth="1"/>
    <col min="9996" max="9997" width="15" style="986" customWidth="1"/>
    <col min="9998" max="9998" width="13.5703125" style="986" customWidth="1"/>
    <col min="9999" max="9999" width="15" style="986" customWidth="1"/>
    <col min="10000" max="10001" width="17.5703125" style="986" customWidth="1"/>
    <col min="10002" max="10002" width="33" style="986" customWidth="1"/>
    <col min="10003" max="10003" width="15" style="986" customWidth="1"/>
    <col min="10004" max="10005" width="14.5703125" style="986" bestFit="1" customWidth="1"/>
    <col min="10006" max="10006" width="10.5703125" style="986" bestFit="1" customWidth="1"/>
    <col min="10007" max="10240" width="10" style="986"/>
    <col min="10241" max="10241" width="9.42578125" style="986" customWidth="1"/>
    <col min="10242" max="10242" width="20.85546875" style="986" customWidth="1"/>
    <col min="10243" max="10243" width="35.5703125" style="986" customWidth="1"/>
    <col min="10244" max="10244" width="12.85546875" style="986" customWidth="1"/>
    <col min="10245" max="10245" width="10.42578125" style="986" customWidth="1"/>
    <col min="10246" max="10246" width="16.42578125" style="986" customWidth="1"/>
    <col min="10247" max="10247" width="12" style="986" customWidth="1"/>
    <col min="10248" max="10248" width="14.28515625" style="986" bestFit="1" customWidth="1"/>
    <col min="10249" max="10249" width="18.85546875" style="986" customWidth="1"/>
    <col min="10250" max="10250" width="15.5703125" style="986" customWidth="1"/>
    <col min="10251" max="10251" width="16.140625" style="986" customWidth="1"/>
    <col min="10252" max="10253" width="15" style="986" customWidth="1"/>
    <col min="10254" max="10254" width="13.5703125" style="986" customWidth="1"/>
    <col min="10255" max="10255" width="15" style="986" customWidth="1"/>
    <col min="10256" max="10257" width="17.5703125" style="986" customWidth="1"/>
    <col min="10258" max="10258" width="33" style="986" customWidth="1"/>
    <col min="10259" max="10259" width="15" style="986" customWidth="1"/>
    <col min="10260" max="10261" width="14.5703125" style="986" bestFit="1" customWidth="1"/>
    <col min="10262" max="10262" width="10.5703125" style="986" bestFit="1" customWidth="1"/>
    <col min="10263" max="10496" width="10" style="986"/>
    <col min="10497" max="10497" width="9.42578125" style="986" customWidth="1"/>
    <col min="10498" max="10498" width="20.85546875" style="986" customWidth="1"/>
    <col min="10499" max="10499" width="35.5703125" style="986" customWidth="1"/>
    <col min="10500" max="10500" width="12.85546875" style="986" customWidth="1"/>
    <col min="10501" max="10501" width="10.42578125" style="986" customWidth="1"/>
    <col min="10502" max="10502" width="16.42578125" style="986" customWidth="1"/>
    <col min="10503" max="10503" width="12" style="986" customWidth="1"/>
    <col min="10504" max="10504" width="14.28515625" style="986" bestFit="1" customWidth="1"/>
    <col min="10505" max="10505" width="18.85546875" style="986" customWidth="1"/>
    <col min="10506" max="10506" width="15.5703125" style="986" customWidth="1"/>
    <col min="10507" max="10507" width="16.140625" style="986" customWidth="1"/>
    <col min="10508" max="10509" width="15" style="986" customWidth="1"/>
    <col min="10510" max="10510" width="13.5703125" style="986" customWidth="1"/>
    <col min="10511" max="10511" width="15" style="986" customWidth="1"/>
    <col min="10512" max="10513" width="17.5703125" style="986" customWidth="1"/>
    <col min="10514" max="10514" width="33" style="986" customWidth="1"/>
    <col min="10515" max="10515" width="15" style="986" customWidth="1"/>
    <col min="10516" max="10517" width="14.5703125" style="986" bestFit="1" customWidth="1"/>
    <col min="10518" max="10518" width="10.5703125" style="986" bestFit="1" customWidth="1"/>
    <col min="10519" max="10752" width="10" style="986"/>
    <col min="10753" max="10753" width="9.42578125" style="986" customWidth="1"/>
    <col min="10754" max="10754" width="20.85546875" style="986" customWidth="1"/>
    <col min="10755" max="10755" width="35.5703125" style="986" customWidth="1"/>
    <col min="10756" max="10756" width="12.85546875" style="986" customWidth="1"/>
    <col min="10757" max="10757" width="10.42578125" style="986" customWidth="1"/>
    <col min="10758" max="10758" width="16.42578125" style="986" customWidth="1"/>
    <col min="10759" max="10759" width="12" style="986" customWidth="1"/>
    <col min="10760" max="10760" width="14.28515625" style="986" bestFit="1" customWidth="1"/>
    <col min="10761" max="10761" width="18.85546875" style="986" customWidth="1"/>
    <col min="10762" max="10762" width="15.5703125" style="986" customWidth="1"/>
    <col min="10763" max="10763" width="16.140625" style="986" customWidth="1"/>
    <col min="10764" max="10765" width="15" style="986" customWidth="1"/>
    <col min="10766" max="10766" width="13.5703125" style="986" customWidth="1"/>
    <col min="10767" max="10767" width="15" style="986" customWidth="1"/>
    <col min="10768" max="10769" width="17.5703125" style="986" customWidth="1"/>
    <col min="10770" max="10770" width="33" style="986" customWidth="1"/>
    <col min="10771" max="10771" width="15" style="986" customWidth="1"/>
    <col min="10772" max="10773" width="14.5703125" style="986" bestFit="1" customWidth="1"/>
    <col min="10774" max="10774" width="10.5703125" style="986" bestFit="1" customWidth="1"/>
    <col min="10775" max="11008" width="10" style="986"/>
    <col min="11009" max="11009" width="9.42578125" style="986" customWidth="1"/>
    <col min="11010" max="11010" width="20.85546875" style="986" customWidth="1"/>
    <col min="11011" max="11011" width="35.5703125" style="986" customWidth="1"/>
    <col min="11012" max="11012" width="12.85546875" style="986" customWidth="1"/>
    <col min="11013" max="11013" width="10.42578125" style="986" customWidth="1"/>
    <col min="11014" max="11014" width="16.42578125" style="986" customWidth="1"/>
    <col min="11015" max="11015" width="12" style="986" customWidth="1"/>
    <col min="11016" max="11016" width="14.28515625" style="986" bestFit="1" customWidth="1"/>
    <col min="11017" max="11017" width="18.85546875" style="986" customWidth="1"/>
    <col min="11018" max="11018" width="15.5703125" style="986" customWidth="1"/>
    <col min="11019" max="11019" width="16.140625" style="986" customWidth="1"/>
    <col min="11020" max="11021" width="15" style="986" customWidth="1"/>
    <col min="11022" max="11022" width="13.5703125" style="986" customWidth="1"/>
    <col min="11023" max="11023" width="15" style="986" customWidth="1"/>
    <col min="11024" max="11025" width="17.5703125" style="986" customWidth="1"/>
    <col min="11026" max="11026" width="33" style="986" customWidth="1"/>
    <col min="11027" max="11027" width="15" style="986" customWidth="1"/>
    <col min="11028" max="11029" width="14.5703125" style="986" bestFit="1" customWidth="1"/>
    <col min="11030" max="11030" width="10.5703125" style="986" bestFit="1" customWidth="1"/>
    <col min="11031" max="11264" width="10" style="986"/>
    <col min="11265" max="11265" width="9.42578125" style="986" customWidth="1"/>
    <col min="11266" max="11266" width="20.85546875" style="986" customWidth="1"/>
    <col min="11267" max="11267" width="35.5703125" style="986" customWidth="1"/>
    <col min="11268" max="11268" width="12.85546875" style="986" customWidth="1"/>
    <col min="11269" max="11269" width="10.42578125" style="986" customWidth="1"/>
    <col min="11270" max="11270" width="16.42578125" style="986" customWidth="1"/>
    <col min="11271" max="11271" width="12" style="986" customWidth="1"/>
    <col min="11272" max="11272" width="14.28515625" style="986" bestFit="1" customWidth="1"/>
    <col min="11273" max="11273" width="18.85546875" style="986" customWidth="1"/>
    <col min="11274" max="11274" width="15.5703125" style="986" customWidth="1"/>
    <col min="11275" max="11275" width="16.140625" style="986" customWidth="1"/>
    <col min="11276" max="11277" width="15" style="986" customWidth="1"/>
    <col min="11278" max="11278" width="13.5703125" style="986" customWidth="1"/>
    <col min="11279" max="11279" width="15" style="986" customWidth="1"/>
    <col min="11280" max="11281" width="17.5703125" style="986" customWidth="1"/>
    <col min="11282" max="11282" width="33" style="986" customWidth="1"/>
    <col min="11283" max="11283" width="15" style="986" customWidth="1"/>
    <col min="11284" max="11285" width="14.5703125" style="986" bestFit="1" customWidth="1"/>
    <col min="11286" max="11286" width="10.5703125" style="986" bestFit="1" customWidth="1"/>
    <col min="11287" max="11520" width="10" style="986"/>
    <col min="11521" max="11521" width="9.42578125" style="986" customWidth="1"/>
    <col min="11522" max="11522" width="20.85546875" style="986" customWidth="1"/>
    <col min="11523" max="11523" width="35.5703125" style="986" customWidth="1"/>
    <col min="11524" max="11524" width="12.85546875" style="986" customWidth="1"/>
    <col min="11525" max="11525" width="10.42578125" style="986" customWidth="1"/>
    <col min="11526" max="11526" width="16.42578125" style="986" customWidth="1"/>
    <col min="11527" max="11527" width="12" style="986" customWidth="1"/>
    <col min="11528" max="11528" width="14.28515625" style="986" bestFit="1" customWidth="1"/>
    <col min="11529" max="11529" width="18.85546875" style="986" customWidth="1"/>
    <col min="11530" max="11530" width="15.5703125" style="986" customWidth="1"/>
    <col min="11531" max="11531" width="16.140625" style="986" customWidth="1"/>
    <col min="11532" max="11533" width="15" style="986" customWidth="1"/>
    <col min="11534" max="11534" width="13.5703125" style="986" customWidth="1"/>
    <col min="11535" max="11535" width="15" style="986" customWidth="1"/>
    <col min="11536" max="11537" width="17.5703125" style="986" customWidth="1"/>
    <col min="11538" max="11538" width="33" style="986" customWidth="1"/>
    <col min="11539" max="11539" width="15" style="986" customWidth="1"/>
    <col min="11540" max="11541" width="14.5703125" style="986" bestFit="1" customWidth="1"/>
    <col min="11542" max="11542" width="10.5703125" style="986" bestFit="1" customWidth="1"/>
    <col min="11543" max="11776" width="10" style="986"/>
    <col min="11777" max="11777" width="9.42578125" style="986" customWidth="1"/>
    <col min="11778" max="11778" width="20.85546875" style="986" customWidth="1"/>
    <col min="11779" max="11779" width="35.5703125" style="986" customWidth="1"/>
    <col min="11780" max="11780" width="12.85546875" style="986" customWidth="1"/>
    <col min="11781" max="11781" width="10.42578125" style="986" customWidth="1"/>
    <col min="11782" max="11782" width="16.42578125" style="986" customWidth="1"/>
    <col min="11783" max="11783" width="12" style="986" customWidth="1"/>
    <col min="11784" max="11784" width="14.28515625" style="986" bestFit="1" customWidth="1"/>
    <col min="11785" max="11785" width="18.85546875" style="986" customWidth="1"/>
    <col min="11786" max="11786" width="15.5703125" style="986" customWidth="1"/>
    <col min="11787" max="11787" width="16.140625" style="986" customWidth="1"/>
    <col min="11788" max="11789" width="15" style="986" customWidth="1"/>
    <col min="11790" max="11790" width="13.5703125" style="986" customWidth="1"/>
    <col min="11791" max="11791" width="15" style="986" customWidth="1"/>
    <col min="11792" max="11793" width="17.5703125" style="986" customWidth="1"/>
    <col min="11794" max="11794" width="33" style="986" customWidth="1"/>
    <col min="11795" max="11795" width="15" style="986" customWidth="1"/>
    <col min="11796" max="11797" width="14.5703125" style="986" bestFit="1" customWidth="1"/>
    <col min="11798" max="11798" width="10.5703125" style="986" bestFit="1" customWidth="1"/>
    <col min="11799" max="12032" width="10" style="986"/>
    <col min="12033" max="12033" width="9.42578125" style="986" customWidth="1"/>
    <col min="12034" max="12034" width="20.85546875" style="986" customWidth="1"/>
    <col min="12035" max="12035" width="35.5703125" style="986" customWidth="1"/>
    <col min="12036" max="12036" width="12.85546875" style="986" customWidth="1"/>
    <col min="12037" max="12037" width="10.42578125" style="986" customWidth="1"/>
    <col min="12038" max="12038" width="16.42578125" style="986" customWidth="1"/>
    <col min="12039" max="12039" width="12" style="986" customWidth="1"/>
    <col min="12040" max="12040" width="14.28515625" style="986" bestFit="1" customWidth="1"/>
    <col min="12041" max="12041" width="18.85546875" style="986" customWidth="1"/>
    <col min="12042" max="12042" width="15.5703125" style="986" customWidth="1"/>
    <col min="12043" max="12043" width="16.140625" style="986" customWidth="1"/>
    <col min="12044" max="12045" width="15" style="986" customWidth="1"/>
    <col min="12046" max="12046" width="13.5703125" style="986" customWidth="1"/>
    <col min="12047" max="12047" width="15" style="986" customWidth="1"/>
    <col min="12048" max="12049" width="17.5703125" style="986" customWidth="1"/>
    <col min="12050" max="12050" width="33" style="986" customWidth="1"/>
    <col min="12051" max="12051" width="15" style="986" customWidth="1"/>
    <col min="12052" max="12053" width="14.5703125" style="986" bestFit="1" customWidth="1"/>
    <col min="12054" max="12054" width="10.5703125" style="986" bestFit="1" customWidth="1"/>
    <col min="12055" max="12288" width="10" style="986"/>
    <col min="12289" max="12289" width="9.42578125" style="986" customWidth="1"/>
    <col min="12290" max="12290" width="20.85546875" style="986" customWidth="1"/>
    <col min="12291" max="12291" width="35.5703125" style="986" customWidth="1"/>
    <col min="12292" max="12292" width="12.85546875" style="986" customWidth="1"/>
    <col min="12293" max="12293" width="10.42578125" style="986" customWidth="1"/>
    <col min="12294" max="12294" width="16.42578125" style="986" customWidth="1"/>
    <col min="12295" max="12295" width="12" style="986" customWidth="1"/>
    <col min="12296" max="12296" width="14.28515625" style="986" bestFit="1" customWidth="1"/>
    <col min="12297" max="12297" width="18.85546875" style="986" customWidth="1"/>
    <col min="12298" max="12298" width="15.5703125" style="986" customWidth="1"/>
    <col min="12299" max="12299" width="16.140625" style="986" customWidth="1"/>
    <col min="12300" max="12301" width="15" style="986" customWidth="1"/>
    <col min="12302" max="12302" width="13.5703125" style="986" customWidth="1"/>
    <col min="12303" max="12303" width="15" style="986" customWidth="1"/>
    <col min="12304" max="12305" width="17.5703125" style="986" customWidth="1"/>
    <col min="12306" max="12306" width="33" style="986" customWidth="1"/>
    <col min="12307" max="12307" width="15" style="986" customWidth="1"/>
    <col min="12308" max="12309" width="14.5703125" style="986" bestFit="1" customWidth="1"/>
    <col min="12310" max="12310" width="10.5703125" style="986" bestFit="1" customWidth="1"/>
    <col min="12311" max="12544" width="10" style="986"/>
    <col min="12545" max="12545" width="9.42578125" style="986" customWidth="1"/>
    <col min="12546" max="12546" width="20.85546875" style="986" customWidth="1"/>
    <col min="12547" max="12547" width="35.5703125" style="986" customWidth="1"/>
    <col min="12548" max="12548" width="12.85546875" style="986" customWidth="1"/>
    <col min="12549" max="12549" width="10.42578125" style="986" customWidth="1"/>
    <col min="12550" max="12550" width="16.42578125" style="986" customWidth="1"/>
    <col min="12551" max="12551" width="12" style="986" customWidth="1"/>
    <col min="12552" max="12552" width="14.28515625" style="986" bestFit="1" customWidth="1"/>
    <col min="12553" max="12553" width="18.85546875" style="986" customWidth="1"/>
    <col min="12554" max="12554" width="15.5703125" style="986" customWidth="1"/>
    <col min="12555" max="12555" width="16.140625" style="986" customWidth="1"/>
    <col min="12556" max="12557" width="15" style="986" customWidth="1"/>
    <col min="12558" max="12558" width="13.5703125" style="986" customWidth="1"/>
    <col min="12559" max="12559" width="15" style="986" customWidth="1"/>
    <col min="12560" max="12561" width="17.5703125" style="986" customWidth="1"/>
    <col min="12562" max="12562" width="33" style="986" customWidth="1"/>
    <col min="12563" max="12563" width="15" style="986" customWidth="1"/>
    <col min="12564" max="12565" width="14.5703125" style="986" bestFit="1" customWidth="1"/>
    <col min="12566" max="12566" width="10.5703125" style="986" bestFit="1" customWidth="1"/>
    <col min="12567" max="12800" width="10" style="986"/>
    <col min="12801" max="12801" width="9.42578125" style="986" customWidth="1"/>
    <col min="12802" max="12802" width="20.85546875" style="986" customWidth="1"/>
    <col min="12803" max="12803" width="35.5703125" style="986" customWidth="1"/>
    <col min="12804" max="12804" width="12.85546875" style="986" customWidth="1"/>
    <col min="12805" max="12805" width="10.42578125" style="986" customWidth="1"/>
    <col min="12806" max="12806" width="16.42578125" style="986" customWidth="1"/>
    <col min="12807" max="12807" width="12" style="986" customWidth="1"/>
    <col min="12808" max="12808" width="14.28515625" style="986" bestFit="1" customWidth="1"/>
    <col min="12809" max="12809" width="18.85546875" style="986" customWidth="1"/>
    <col min="12810" max="12810" width="15.5703125" style="986" customWidth="1"/>
    <col min="12811" max="12811" width="16.140625" style="986" customWidth="1"/>
    <col min="12812" max="12813" width="15" style="986" customWidth="1"/>
    <col min="12814" max="12814" width="13.5703125" style="986" customWidth="1"/>
    <col min="12815" max="12815" width="15" style="986" customWidth="1"/>
    <col min="12816" max="12817" width="17.5703125" style="986" customWidth="1"/>
    <col min="12818" max="12818" width="33" style="986" customWidth="1"/>
    <col min="12819" max="12819" width="15" style="986" customWidth="1"/>
    <col min="12820" max="12821" width="14.5703125" style="986" bestFit="1" customWidth="1"/>
    <col min="12822" max="12822" width="10.5703125" style="986" bestFit="1" customWidth="1"/>
    <col min="12823" max="13056" width="10" style="986"/>
    <col min="13057" max="13057" width="9.42578125" style="986" customWidth="1"/>
    <col min="13058" max="13058" width="20.85546875" style="986" customWidth="1"/>
    <col min="13059" max="13059" width="35.5703125" style="986" customWidth="1"/>
    <col min="13060" max="13060" width="12.85546875" style="986" customWidth="1"/>
    <col min="13061" max="13061" width="10.42578125" style="986" customWidth="1"/>
    <col min="13062" max="13062" width="16.42578125" style="986" customWidth="1"/>
    <col min="13063" max="13063" width="12" style="986" customWidth="1"/>
    <col min="13064" max="13064" width="14.28515625" style="986" bestFit="1" customWidth="1"/>
    <col min="13065" max="13065" width="18.85546875" style="986" customWidth="1"/>
    <col min="13066" max="13066" width="15.5703125" style="986" customWidth="1"/>
    <col min="13067" max="13067" width="16.140625" style="986" customWidth="1"/>
    <col min="13068" max="13069" width="15" style="986" customWidth="1"/>
    <col min="13070" max="13070" width="13.5703125" style="986" customWidth="1"/>
    <col min="13071" max="13071" width="15" style="986" customWidth="1"/>
    <col min="13072" max="13073" width="17.5703125" style="986" customWidth="1"/>
    <col min="13074" max="13074" width="33" style="986" customWidth="1"/>
    <col min="13075" max="13075" width="15" style="986" customWidth="1"/>
    <col min="13076" max="13077" width="14.5703125" style="986" bestFit="1" customWidth="1"/>
    <col min="13078" max="13078" width="10.5703125" style="986" bestFit="1" customWidth="1"/>
    <col min="13079" max="13312" width="10" style="986"/>
    <col min="13313" max="13313" width="9.42578125" style="986" customWidth="1"/>
    <col min="13314" max="13314" width="20.85546875" style="986" customWidth="1"/>
    <col min="13315" max="13315" width="35.5703125" style="986" customWidth="1"/>
    <col min="13316" max="13316" width="12.85546875" style="986" customWidth="1"/>
    <col min="13317" max="13317" width="10.42578125" style="986" customWidth="1"/>
    <col min="13318" max="13318" width="16.42578125" style="986" customWidth="1"/>
    <col min="13319" max="13319" width="12" style="986" customWidth="1"/>
    <col min="13320" max="13320" width="14.28515625" style="986" bestFit="1" customWidth="1"/>
    <col min="13321" max="13321" width="18.85546875" style="986" customWidth="1"/>
    <col min="13322" max="13322" width="15.5703125" style="986" customWidth="1"/>
    <col min="13323" max="13323" width="16.140625" style="986" customWidth="1"/>
    <col min="13324" max="13325" width="15" style="986" customWidth="1"/>
    <col min="13326" max="13326" width="13.5703125" style="986" customWidth="1"/>
    <col min="13327" max="13327" width="15" style="986" customWidth="1"/>
    <col min="13328" max="13329" width="17.5703125" style="986" customWidth="1"/>
    <col min="13330" max="13330" width="33" style="986" customWidth="1"/>
    <col min="13331" max="13331" width="15" style="986" customWidth="1"/>
    <col min="13332" max="13333" width="14.5703125" style="986" bestFit="1" customWidth="1"/>
    <col min="13334" max="13334" width="10.5703125" style="986" bestFit="1" customWidth="1"/>
    <col min="13335" max="13568" width="10" style="986"/>
    <col min="13569" max="13569" width="9.42578125" style="986" customWidth="1"/>
    <col min="13570" max="13570" width="20.85546875" style="986" customWidth="1"/>
    <col min="13571" max="13571" width="35.5703125" style="986" customWidth="1"/>
    <col min="13572" max="13572" width="12.85546875" style="986" customWidth="1"/>
    <col min="13573" max="13573" width="10.42578125" style="986" customWidth="1"/>
    <col min="13574" max="13574" width="16.42578125" style="986" customWidth="1"/>
    <col min="13575" max="13575" width="12" style="986" customWidth="1"/>
    <col min="13576" max="13576" width="14.28515625" style="986" bestFit="1" customWidth="1"/>
    <col min="13577" max="13577" width="18.85546875" style="986" customWidth="1"/>
    <col min="13578" max="13578" width="15.5703125" style="986" customWidth="1"/>
    <col min="13579" max="13579" width="16.140625" style="986" customWidth="1"/>
    <col min="13580" max="13581" width="15" style="986" customWidth="1"/>
    <col min="13582" max="13582" width="13.5703125" style="986" customWidth="1"/>
    <col min="13583" max="13583" width="15" style="986" customWidth="1"/>
    <col min="13584" max="13585" width="17.5703125" style="986" customWidth="1"/>
    <col min="13586" max="13586" width="33" style="986" customWidth="1"/>
    <col min="13587" max="13587" width="15" style="986" customWidth="1"/>
    <col min="13588" max="13589" width="14.5703125" style="986" bestFit="1" customWidth="1"/>
    <col min="13590" max="13590" width="10.5703125" style="986" bestFit="1" customWidth="1"/>
    <col min="13591" max="13824" width="10" style="986"/>
    <col min="13825" max="13825" width="9.42578125" style="986" customWidth="1"/>
    <col min="13826" max="13826" width="20.85546875" style="986" customWidth="1"/>
    <col min="13827" max="13827" width="35.5703125" style="986" customWidth="1"/>
    <col min="13828" max="13828" width="12.85546875" style="986" customWidth="1"/>
    <col min="13829" max="13829" width="10.42578125" style="986" customWidth="1"/>
    <col min="13830" max="13830" width="16.42578125" style="986" customWidth="1"/>
    <col min="13831" max="13831" width="12" style="986" customWidth="1"/>
    <col min="13832" max="13832" width="14.28515625" style="986" bestFit="1" customWidth="1"/>
    <col min="13833" max="13833" width="18.85546875" style="986" customWidth="1"/>
    <col min="13834" max="13834" width="15.5703125" style="986" customWidth="1"/>
    <col min="13835" max="13835" width="16.140625" style="986" customWidth="1"/>
    <col min="13836" max="13837" width="15" style="986" customWidth="1"/>
    <col min="13838" max="13838" width="13.5703125" style="986" customWidth="1"/>
    <col min="13839" max="13839" width="15" style="986" customWidth="1"/>
    <col min="13840" max="13841" width="17.5703125" style="986" customWidth="1"/>
    <col min="13842" max="13842" width="33" style="986" customWidth="1"/>
    <col min="13843" max="13843" width="15" style="986" customWidth="1"/>
    <col min="13844" max="13845" width="14.5703125" style="986" bestFit="1" customWidth="1"/>
    <col min="13846" max="13846" width="10.5703125" style="986" bestFit="1" customWidth="1"/>
    <col min="13847" max="14080" width="10" style="986"/>
    <col min="14081" max="14081" width="9.42578125" style="986" customWidth="1"/>
    <col min="14082" max="14082" width="20.85546875" style="986" customWidth="1"/>
    <col min="14083" max="14083" width="35.5703125" style="986" customWidth="1"/>
    <col min="14084" max="14084" width="12.85546875" style="986" customWidth="1"/>
    <col min="14085" max="14085" width="10.42578125" style="986" customWidth="1"/>
    <col min="14086" max="14086" width="16.42578125" style="986" customWidth="1"/>
    <col min="14087" max="14087" width="12" style="986" customWidth="1"/>
    <col min="14088" max="14088" width="14.28515625" style="986" bestFit="1" customWidth="1"/>
    <col min="14089" max="14089" width="18.85546875" style="986" customWidth="1"/>
    <col min="14090" max="14090" width="15.5703125" style="986" customWidth="1"/>
    <col min="14091" max="14091" width="16.140625" style="986" customWidth="1"/>
    <col min="14092" max="14093" width="15" style="986" customWidth="1"/>
    <col min="14094" max="14094" width="13.5703125" style="986" customWidth="1"/>
    <col min="14095" max="14095" width="15" style="986" customWidth="1"/>
    <col min="14096" max="14097" width="17.5703125" style="986" customWidth="1"/>
    <col min="14098" max="14098" width="33" style="986" customWidth="1"/>
    <col min="14099" max="14099" width="15" style="986" customWidth="1"/>
    <col min="14100" max="14101" width="14.5703125" style="986" bestFit="1" customWidth="1"/>
    <col min="14102" max="14102" width="10.5703125" style="986" bestFit="1" customWidth="1"/>
    <col min="14103" max="14336" width="10" style="986"/>
    <col min="14337" max="14337" width="9.42578125" style="986" customWidth="1"/>
    <col min="14338" max="14338" width="20.85546875" style="986" customWidth="1"/>
    <col min="14339" max="14339" width="35.5703125" style="986" customWidth="1"/>
    <col min="14340" max="14340" width="12.85546875" style="986" customWidth="1"/>
    <col min="14341" max="14341" width="10.42578125" style="986" customWidth="1"/>
    <col min="14342" max="14342" width="16.42578125" style="986" customWidth="1"/>
    <col min="14343" max="14343" width="12" style="986" customWidth="1"/>
    <col min="14344" max="14344" width="14.28515625" style="986" bestFit="1" customWidth="1"/>
    <col min="14345" max="14345" width="18.85546875" style="986" customWidth="1"/>
    <col min="14346" max="14346" width="15.5703125" style="986" customWidth="1"/>
    <col min="14347" max="14347" width="16.140625" style="986" customWidth="1"/>
    <col min="14348" max="14349" width="15" style="986" customWidth="1"/>
    <col min="14350" max="14350" width="13.5703125" style="986" customWidth="1"/>
    <col min="14351" max="14351" width="15" style="986" customWidth="1"/>
    <col min="14352" max="14353" width="17.5703125" style="986" customWidth="1"/>
    <col min="14354" max="14354" width="33" style="986" customWidth="1"/>
    <col min="14355" max="14355" width="15" style="986" customWidth="1"/>
    <col min="14356" max="14357" width="14.5703125" style="986" bestFit="1" customWidth="1"/>
    <col min="14358" max="14358" width="10.5703125" style="986" bestFit="1" customWidth="1"/>
    <col min="14359" max="14592" width="10" style="986"/>
    <col min="14593" max="14593" width="9.42578125" style="986" customWidth="1"/>
    <col min="14594" max="14594" width="20.85546875" style="986" customWidth="1"/>
    <col min="14595" max="14595" width="35.5703125" style="986" customWidth="1"/>
    <col min="14596" max="14596" width="12.85546875" style="986" customWidth="1"/>
    <col min="14597" max="14597" width="10.42578125" style="986" customWidth="1"/>
    <col min="14598" max="14598" width="16.42578125" style="986" customWidth="1"/>
    <col min="14599" max="14599" width="12" style="986" customWidth="1"/>
    <col min="14600" max="14600" width="14.28515625" style="986" bestFit="1" customWidth="1"/>
    <col min="14601" max="14601" width="18.85546875" style="986" customWidth="1"/>
    <col min="14602" max="14602" width="15.5703125" style="986" customWidth="1"/>
    <col min="14603" max="14603" width="16.140625" style="986" customWidth="1"/>
    <col min="14604" max="14605" width="15" style="986" customWidth="1"/>
    <col min="14606" max="14606" width="13.5703125" style="986" customWidth="1"/>
    <col min="14607" max="14607" width="15" style="986" customWidth="1"/>
    <col min="14608" max="14609" width="17.5703125" style="986" customWidth="1"/>
    <col min="14610" max="14610" width="33" style="986" customWidth="1"/>
    <col min="14611" max="14611" width="15" style="986" customWidth="1"/>
    <col min="14612" max="14613" width="14.5703125" style="986" bestFit="1" customWidth="1"/>
    <col min="14614" max="14614" width="10.5703125" style="986" bestFit="1" customWidth="1"/>
    <col min="14615" max="14848" width="10" style="986"/>
    <col min="14849" max="14849" width="9.42578125" style="986" customWidth="1"/>
    <col min="14850" max="14850" width="20.85546875" style="986" customWidth="1"/>
    <col min="14851" max="14851" width="35.5703125" style="986" customWidth="1"/>
    <col min="14852" max="14852" width="12.85546875" style="986" customWidth="1"/>
    <col min="14853" max="14853" width="10.42578125" style="986" customWidth="1"/>
    <col min="14854" max="14854" width="16.42578125" style="986" customWidth="1"/>
    <col min="14855" max="14855" width="12" style="986" customWidth="1"/>
    <col min="14856" max="14856" width="14.28515625" style="986" bestFit="1" customWidth="1"/>
    <col min="14857" max="14857" width="18.85546875" style="986" customWidth="1"/>
    <col min="14858" max="14858" width="15.5703125" style="986" customWidth="1"/>
    <col min="14859" max="14859" width="16.140625" style="986" customWidth="1"/>
    <col min="14860" max="14861" width="15" style="986" customWidth="1"/>
    <col min="14862" max="14862" width="13.5703125" style="986" customWidth="1"/>
    <col min="14863" max="14863" width="15" style="986" customWidth="1"/>
    <col min="14864" max="14865" width="17.5703125" style="986" customWidth="1"/>
    <col min="14866" max="14866" width="33" style="986" customWidth="1"/>
    <col min="14867" max="14867" width="15" style="986" customWidth="1"/>
    <col min="14868" max="14869" width="14.5703125" style="986" bestFit="1" customWidth="1"/>
    <col min="14870" max="14870" width="10.5703125" style="986" bestFit="1" customWidth="1"/>
    <col min="14871" max="15104" width="10" style="986"/>
    <col min="15105" max="15105" width="9.42578125" style="986" customWidth="1"/>
    <col min="15106" max="15106" width="20.85546875" style="986" customWidth="1"/>
    <col min="15107" max="15107" width="35.5703125" style="986" customWidth="1"/>
    <col min="15108" max="15108" width="12.85546875" style="986" customWidth="1"/>
    <col min="15109" max="15109" width="10.42578125" style="986" customWidth="1"/>
    <col min="15110" max="15110" width="16.42578125" style="986" customWidth="1"/>
    <col min="15111" max="15111" width="12" style="986" customWidth="1"/>
    <col min="15112" max="15112" width="14.28515625" style="986" bestFit="1" customWidth="1"/>
    <col min="15113" max="15113" width="18.85546875" style="986" customWidth="1"/>
    <col min="15114" max="15114" width="15.5703125" style="986" customWidth="1"/>
    <col min="15115" max="15115" width="16.140625" style="986" customWidth="1"/>
    <col min="15116" max="15117" width="15" style="986" customWidth="1"/>
    <col min="15118" max="15118" width="13.5703125" style="986" customWidth="1"/>
    <col min="15119" max="15119" width="15" style="986" customWidth="1"/>
    <col min="15120" max="15121" width="17.5703125" style="986" customWidth="1"/>
    <col min="15122" max="15122" width="33" style="986" customWidth="1"/>
    <col min="15123" max="15123" width="15" style="986" customWidth="1"/>
    <col min="15124" max="15125" width="14.5703125" style="986" bestFit="1" customWidth="1"/>
    <col min="15126" max="15126" width="10.5703125" style="986" bestFit="1" customWidth="1"/>
    <col min="15127" max="15360" width="10" style="986"/>
    <col min="15361" max="15361" width="9.42578125" style="986" customWidth="1"/>
    <col min="15362" max="15362" width="20.85546875" style="986" customWidth="1"/>
    <col min="15363" max="15363" width="35.5703125" style="986" customWidth="1"/>
    <col min="15364" max="15364" width="12.85546875" style="986" customWidth="1"/>
    <col min="15365" max="15365" width="10.42578125" style="986" customWidth="1"/>
    <col min="15366" max="15366" width="16.42578125" style="986" customWidth="1"/>
    <col min="15367" max="15367" width="12" style="986" customWidth="1"/>
    <col min="15368" max="15368" width="14.28515625" style="986" bestFit="1" customWidth="1"/>
    <col min="15369" max="15369" width="18.85546875" style="986" customWidth="1"/>
    <col min="15370" max="15370" width="15.5703125" style="986" customWidth="1"/>
    <col min="15371" max="15371" width="16.140625" style="986" customWidth="1"/>
    <col min="15372" max="15373" width="15" style="986" customWidth="1"/>
    <col min="15374" max="15374" width="13.5703125" style="986" customWidth="1"/>
    <col min="15375" max="15375" width="15" style="986" customWidth="1"/>
    <col min="15376" max="15377" width="17.5703125" style="986" customWidth="1"/>
    <col min="15378" max="15378" width="33" style="986" customWidth="1"/>
    <col min="15379" max="15379" width="15" style="986" customWidth="1"/>
    <col min="15380" max="15381" width="14.5703125" style="986" bestFit="1" customWidth="1"/>
    <col min="15382" max="15382" width="10.5703125" style="986" bestFit="1" customWidth="1"/>
    <col min="15383" max="15616" width="10" style="986"/>
    <col min="15617" max="15617" width="9.42578125" style="986" customWidth="1"/>
    <col min="15618" max="15618" width="20.85546875" style="986" customWidth="1"/>
    <col min="15619" max="15619" width="35.5703125" style="986" customWidth="1"/>
    <col min="15620" max="15620" width="12.85546875" style="986" customWidth="1"/>
    <col min="15621" max="15621" width="10.42578125" style="986" customWidth="1"/>
    <col min="15622" max="15622" width="16.42578125" style="986" customWidth="1"/>
    <col min="15623" max="15623" width="12" style="986" customWidth="1"/>
    <col min="15624" max="15624" width="14.28515625" style="986" bestFit="1" customWidth="1"/>
    <col min="15625" max="15625" width="18.85546875" style="986" customWidth="1"/>
    <col min="15626" max="15626" width="15.5703125" style="986" customWidth="1"/>
    <col min="15627" max="15627" width="16.140625" style="986" customWidth="1"/>
    <col min="15628" max="15629" width="15" style="986" customWidth="1"/>
    <col min="15630" max="15630" width="13.5703125" style="986" customWidth="1"/>
    <col min="15631" max="15631" width="15" style="986" customWidth="1"/>
    <col min="15632" max="15633" width="17.5703125" style="986" customWidth="1"/>
    <col min="15634" max="15634" width="33" style="986" customWidth="1"/>
    <col min="15635" max="15635" width="15" style="986" customWidth="1"/>
    <col min="15636" max="15637" width="14.5703125" style="986" bestFit="1" customWidth="1"/>
    <col min="15638" max="15638" width="10.5703125" style="986" bestFit="1" customWidth="1"/>
    <col min="15639" max="15872" width="10" style="986"/>
    <col min="15873" max="15873" width="9.42578125" style="986" customWidth="1"/>
    <col min="15874" max="15874" width="20.85546875" style="986" customWidth="1"/>
    <col min="15875" max="15875" width="35.5703125" style="986" customWidth="1"/>
    <col min="15876" max="15876" width="12.85546875" style="986" customWidth="1"/>
    <col min="15877" max="15877" width="10.42578125" style="986" customWidth="1"/>
    <col min="15878" max="15878" width="16.42578125" style="986" customWidth="1"/>
    <col min="15879" max="15879" width="12" style="986" customWidth="1"/>
    <col min="15880" max="15880" width="14.28515625" style="986" bestFit="1" customWidth="1"/>
    <col min="15881" max="15881" width="18.85546875" style="986" customWidth="1"/>
    <col min="15882" max="15882" width="15.5703125" style="986" customWidth="1"/>
    <col min="15883" max="15883" width="16.140625" style="986" customWidth="1"/>
    <col min="15884" max="15885" width="15" style="986" customWidth="1"/>
    <col min="15886" max="15886" width="13.5703125" style="986" customWidth="1"/>
    <col min="15887" max="15887" width="15" style="986" customWidth="1"/>
    <col min="15888" max="15889" width="17.5703125" style="986" customWidth="1"/>
    <col min="15890" max="15890" width="33" style="986" customWidth="1"/>
    <col min="15891" max="15891" width="15" style="986" customWidth="1"/>
    <col min="15892" max="15893" width="14.5703125" style="986" bestFit="1" customWidth="1"/>
    <col min="15894" max="15894" width="10.5703125" style="986" bestFit="1" customWidth="1"/>
    <col min="15895" max="16128" width="10" style="986"/>
    <col min="16129" max="16129" width="9.42578125" style="986" customWidth="1"/>
    <col min="16130" max="16130" width="20.85546875" style="986" customWidth="1"/>
    <col min="16131" max="16131" width="35.5703125" style="986" customWidth="1"/>
    <col min="16132" max="16132" width="12.85546875" style="986" customWidth="1"/>
    <col min="16133" max="16133" width="10.42578125" style="986" customWidth="1"/>
    <col min="16134" max="16134" width="16.42578125" style="986" customWidth="1"/>
    <col min="16135" max="16135" width="12" style="986" customWidth="1"/>
    <col min="16136" max="16136" width="14.28515625" style="986" bestFit="1" customWidth="1"/>
    <col min="16137" max="16137" width="18.85546875" style="986" customWidth="1"/>
    <col min="16138" max="16138" width="15.5703125" style="986" customWidth="1"/>
    <col min="16139" max="16139" width="16.140625" style="986" customWidth="1"/>
    <col min="16140" max="16141" width="15" style="986" customWidth="1"/>
    <col min="16142" max="16142" width="13.5703125" style="986" customWidth="1"/>
    <col min="16143" max="16143" width="15" style="986" customWidth="1"/>
    <col min="16144" max="16145" width="17.5703125" style="986" customWidth="1"/>
    <col min="16146" max="16146" width="33" style="986" customWidth="1"/>
    <col min="16147" max="16147" width="15" style="986" customWidth="1"/>
    <col min="16148" max="16149" width="14.5703125" style="986" bestFit="1" customWidth="1"/>
    <col min="16150" max="16150" width="10.5703125" style="986" bestFit="1" customWidth="1"/>
    <col min="16151" max="16384" width="10" style="986"/>
  </cols>
  <sheetData>
    <row r="1" spans="1:23" ht="12.75">
      <c r="A1" s="986" t="s">
        <v>841</v>
      </c>
      <c r="R1" s="1040"/>
    </row>
    <row r="2" spans="1:23" ht="12.75">
      <c r="A2" s="986" t="s">
        <v>842</v>
      </c>
      <c r="R2" s="1040"/>
      <c r="V2" s="988"/>
    </row>
    <row r="3" spans="1:23" ht="12.75">
      <c r="A3" s="986" t="s">
        <v>843</v>
      </c>
      <c r="R3" s="1040"/>
      <c r="V3" s="989"/>
    </row>
    <row r="4" spans="1:23">
      <c r="A4" s="986" t="s">
        <v>933</v>
      </c>
      <c r="G4" s="990"/>
    </row>
    <row r="5" spans="1:23">
      <c r="A5" s="986" t="s">
        <v>844</v>
      </c>
      <c r="I5" s="991"/>
      <c r="J5" s="991"/>
      <c r="P5" s="991"/>
      <c r="Q5" s="991"/>
    </row>
    <row r="6" spans="1:23">
      <c r="J6" s="991"/>
      <c r="K6" s="992"/>
      <c r="L6" s="987"/>
      <c r="M6" s="987"/>
      <c r="N6" s="987"/>
      <c r="O6" s="987"/>
      <c r="P6" s="987"/>
      <c r="Q6" s="987"/>
    </row>
    <row r="7" spans="1:23">
      <c r="B7" s="993"/>
      <c r="C7" s="993"/>
      <c r="D7" s="993"/>
      <c r="E7" s="993"/>
      <c r="F7" s="993"/>
      <c r="G7" s="993"/>
      <c r="H7" s="993"/>
      <c r="I7" s="993"/>
      <c r="J7" s="993"/>
      <c r="K7" s="993"/>
      <c r="L7" s="993"/>
      <c r="M7" s="993"/>
      <c r="N7" s="993"/>
      <c r="O7" s="993"/>
      <c r="P7" s="993"/>
      <c r="Q7" s="987"/>
    </row>
    <row r="8" spans="1:23">
      <c r="A8" s="987" t="s">
        <v>438</v>
      </c>
      <c r="B8" s="987" t="s">
        <v>439</v>
      </c>
      <c r="C8" s="987" t="s">
        <v>440</v>
      </c>
      <c r="D8" s="987" t="s">
        <v>441</v>
      </c>
      <c r="E8" s="987" t="s">
        <v>442</v>
      </c>
      <c r="F8" s="987" t="s">
        <v>443</v>
      </c>
      <c r="G8" s="987" t="s">
        <v>444</v>
      </c>
      <c r="H8" s="987" t="s">
        <v>445</v>
      </c>
      <c r="I8" s="987" t="s">
        <v>845</v>
      </c>
      <c r="J8" s="987" t="s">
        <v>846</v>
      </c>
      <c r="K8" s="987" t="s">
        <v>448</v>
      </c>
      <c r="L8" s="987" t="s">
        <v>449</v>
      </c>
      <c r="M8" s="987" t="s">
        <v>450</v>
      </c>
      <c r="N8" s="987" t="s">
        <v>31</v>
      </c>
      <c r="O8" s="987" t="s">
        <v>99</v>
      </c>
      <c r="P8" s="987" t="s">
        <v>144</v>
      </c>
      <c r="Q8" s="987" t="s">
        <v>145</v>
      </c>
      <c r="R8" s="987" t="s">
        <v>146</v>
      </c>
    </row>
    <row r="9" spans="1:23" ht="12.75">
      <c r="B9"/>
      <c r="C9"/>
      <c r="D9"/>
      <c r="E9"/>
      <c r="I9" s="1161" t="s">
        <v>931</v>
      </c>
      <c r="J9" s="1161"/>
      <c r="K9" s="1162" t="s">
        <v>847</v>
      </c>
      <c r="L9" s="1162"/>
      <c r="M9" s="1162"/>
      <c r="N9" s="1163" t="s">
        <v>848</v>
      </c>
      <c r="O9" s="1163"/>
      <c r="P9" s="1161" t="s">
        <v>932</v>
      </c>
      <c r="Q9" s="1161"/>
    </row>
    <row r="10" spans="1:23" ht="48">
      <c r="A10" s="994" t="s">
        <v>849</v>
      </c>
      <c r="B10" s="995" t="s">
        <v>850</v>
      </c>
      <c r="C10" s="995" t="s">
        <v>851</v>
      </c>
      <c r="D10" s="996" t="s">
        <v>852</v>
      </c>
      <c r="E10" s="996" t="s">
        <v>853</v>
      </c>
      <c r="F10" s="996" t="s">
        <v>854</v>
      </c>
      <c r="G10" s="996" t="s">
        <v>855</v>
      </c>
      <c r="H10" s="996" t="s">
        <v>856</v>
      </c>
      <c r="I10" s="997" t="s">
        <v>857</v>
      </c>
      <c r="J10" s="997" t="s">
        <v>858</v>
      </c>
      <c r="K10" s="996" t="s">
        <v>859</v>
      </c>
      <c r="L10" s="996">
        <v>182.3</v>
      </c>
      <c r="M10" s="996">
        <v>254</v>
      </c>
      <c r="N10" s="996" t="s">
        <v>860</v>
      </c>
      <c r="O10" s="996" t="s">
        <v>861</v>
      </c>
      <c r="P10" s="997" t="s">
        <v>857</v>
      </c>
      <c r="Q10" s="997" t="s">
        <v>858</v>
      </c>
      <c r="R10" s="998" t="s">
        <v>862</v>
      </c>
    </row>
    <row r="11" spans="1:23">
      <c r="B11" s="986"/>
      <c r="D11" s="999"/>
      <c r="E11" s="999"/>
      <c r="F11" s="999"/>
      <c r="G11" s="999"/>
      <c r="H11" s="999"/>
      <c r="I11" s="999"/>
      <c r="J11" s="999"/>
      <c r="K11" s="999"/>
      <c r="L11" s="999"/>
      <c r="M11" s="999"/>
      <c r="N11" s="999"/>
      <c r="O11" s="999"/>
      <c r="P11" s="1164" t="s">
        <v>863</v>
      </c>
      <c r="Q11" s="1164"/>
      <c r="R11" s="998"/>
    </row>
    <row r="12" spans="1:23">
      <c r="B12" s="1000" t="s">
        <v>864</v>
      </c>
      <c r="C12" s="1001"/>
      <c r="D12" s="1001"/>
      <c r="E12" s="1001"/>
      <c r="F12" s="1001"/>
      <c r="G12" s="1001"/>
      <c r="H12" s="1001"/>
      <c r="I12" s="1001"/>
      <c r="J12" s="1001"/>
      <c r="K12" s="1001"/>
      <c r="L12" s="1001"/>
      <c r="M12" s="1001"/>
      <c r="N12" s="1001"/>
      <c r="O12" s="1001"/>
      <c r="P12" s="1001"/>
      <c r="Q12" s="1001"/>
      <c r="R12" s="989"/>
      <c r="S12" s="989"/>
      <c r="T12" s="989"/>
      <c r="U12" s="989"/>
      <c r="V12" s="989"/>
      <c r="W12" s="989"/>
    </row>
    <row r="13" spans="1:23">
      <c r="A13" s="986" t="s">
        <v>865</v>
      </c>
      <c r="B13" s="1002" t="s">
        <v>866</v>
      </c>
      <c r="C13" s="986" t="s">
        <v>867</v>
      </c>
      <c r="D13" s="986" t="s">
        <v>868</v>
      </c>
      <c r="E13" s="986" t="s">
        <v>869</v>
      </c>
      <c r="F13" s="987"/>
      <c r="I13" s="1003"/>
      <c r="J13" s="1004"/>
      <c r="K13" s="1003"/>
      <c r="L13" s="1003"/>
      <c r="M13" s="1003"/>
      <c r="N13" s="1003"/>
      <c r="O13" s="1003"/>
      <c r="P13" s="1005">
        <f>SUM(I13:O13)</f>
        <v>0</v>
      </c>
      <c r="Q13" s="1006" t="s">
        <v>406</v>
      </c>
      <c r="R13" s="1007" t="s">
        <v>870</v>
      </c>
      <c r="S13" s="989"/>
      <c r="T13" s="989"/>
      <c r="U13" s="989"/>
      <c r="V13" s="989"/>
      <c r="W13" s="989"/>
    </row>
    <row r="14" spans="1:23">
      <c r="A14" s="986" t="s">
        <v>871</v>
      </c>
      <c r="B14" s="1002" t="s">
        <v>872</v>
      </c>
      <c r="C14" s="986" t="s">
        <v>873</v>
      </c>
      <c r="D14" s="986" t="s">
        <v>874</v>
      </c>
      <c r="E14" s="986" t="s">
        <v>869</v>
      </c>
      <c r="F14" s="1008">
        <v>-171531496</v>
      </c>
      <c r="G14" s="1009" t="s">
        <v>875</v>
      </c>
      <c r="H14" s="1009" t="s">
        <v>876</v>
      </c>
      <c r="J14" s="1003"/>
      <c r="K14" s="1003"/>
      <c r="L14" s="1003"/>
      <c r="M14" s="1003"/>
      <c r="N14" s="1003"/>
      <c r="O14" s="1003"/>
      <c r="P14" s="1010" t="s">
        <v>406</v>
      </c>
      <c r="Q14" s="1011">
        <f>SUM(J14:O14)</f>
        <v>0</v>
      </c>
      <c r="R14" s="1012" t="s">
        <v>928</v>
      </c>
      <c r="S14" s="989"/>
      <c r="T14" s="989"/>
      <c r="U14" s="989"/>
      <c r="V14" s="989"/>
      <c r="W14" s="989"/>
    </row>
    <row r="15" spans="1:23">
      <c r="A15" s="986" t="s">
        <v>877</v>
      </c>
      <c r="B15" s="1002" t="s">
        <v>872</v>
      </c>
      <c r="C15" s="986" t="s">
        <v>873</v>
      </c>
      <c r="D15" s="986" t="s">
        <v>878</v>
      </c>
      <c r="E15" s="986" t="s">
        <v>869</v>
      </c>
      <c r="F15" s="1013">
        <v>0</v>
      </c>
      <c r="G15" s="1009" t="s">
        <v>879</v>
      </c>
      <c r="H15" s="1009" t="s">
        <v>880</v>
      </c>
      <c r="J15" s="1003"/>
      <c r="K15" s="1003"/>
      <c r="L15" s="1003"/>
      <c r="M15" s="1003"/>
      <c r="N15" s="1003"/>
      <c r="O15" s="1003"/>
      <c r="P15" s="1010"/>
      <c r="Q15" s="1011">
        <f>SUM(J15:O15)</f>
        <v>0</v>
      </c>
      <c r="R15" s="1012" t="s">
        <v>929</v>
      </c>
      <c r="S15" s="989"/>
      <c r="T15" s="989"/>
      <c r="U15" s="989"/>
      <c r="V15" s="989"/>
      <c r="W15" s="989"/>
    </row>
    <row r="16" spans="1:23">
      <c r="A16" s="986" t="s">
        <v>881</v>
      </c>
      <c r="B16" s="1002" t="s">
        <v>882</v>
      </c>
      <c r="C16" s="986" t="s">
        <v>883</v>
      </c>
      <c r="D16" s="986" t="s">
        <v>874</v>
      </c>
      <c r="E16" s="986" t="s">
        <v>869</v>
      </c>
      <c r="F16" s="1013"/>
      <c r="G16" s="1009"/>
      <c r="H16" s="1009"/>
      <c r="I16" s="1003"/>
      <c r="J16" s="1004"/>
      <c r="K16" s="1003"/>
      <c r="L16" s="1003"/>
      <c r="M16" s="1003"/>
      <c r="N16" s="1003"/>
      <c r="O16" s="1003"/>
      <c r="P16" s="1005">
        <f>SUM(I16:O16)</f>
        <v>0</v>
      </c>
      <c r="Q16" s="1004"/>
      <c r="R16" s="1165" t="s">
        <v>930</v>
      </c>
      <c r="S16" s="989"/>
      <c r="T16" s="989"/>
      <c r="U16" s="989"/>
      <c r="V16" s="989"/>
      <c r="W16" s="989"/>
    </row>
    <row r="17" spans="1:23">
      <c r="A17" s="986" t="s">
        <v>884</v>
      </c>
      <c r="B17" s="1002" t="s">
        <v>882</v>
      </c>
      <c r="C17" s="986" t="s">
        <v>883</v>
      </c>
      <c r="D17" s="986" t="s">
        <v>878</v>
      </c>
      <c r="E17" s="986" t="s">
        <v>869</v>
      </c>
      <c r="F17" s="1013"/>
      <c r="G17" s="1009"/>
      <c r="H17" s="1009"/>
      <c r="I17" s="1003"/>
      <c r="J17" s="1004"/>
      <c r="K17" s="1003"/>
      <c r="L17" s="1003"/>
      <c r="M17" s="1003"/>
      <c r="N17" s="1003"/>
      <c r="O17" s="1003"/>
      <c r="P17" s="1005">
        <f>SUM(I17:O17)</f>
        <v>0</v>
      </c>
      <c r="Q17" s="1004"/>
      <c r="R17" s="1165"/>
      <c r="S17" s="989"/>
      <c r="T17" s="989"/>
      <c r="U17" s="989"/>
      <c r="V17" s="989"/>
      <c r="W17" s="989"/>
    </row>
    <row r="18" spans="1:23">
      <c r="A18" s="986" t="s">
        <v>885</v>
      </c>
      <c r="B18" s="1002" t="s">
        <v>886</v>
      </c>
      <c r="C18" s="986" t="s">
        <v>887</v>
      </c>
      <c r="D18" s="986" t="s">
        <v>878</v>
      </c>
      <c r="E18" s="986" t="s">
        <v>869</v>
      </c>
      <c r="F18" s="1013">
        <v>2463331</v>
      </c>
      <c r="G18" s="1009" t="s">
        <v>879</v>
      </c>
      <c r="H18" s="1009" t="s">
        <v>880</v>
      </c>
      <c r="J18" s="1003"/>
      <c r="K18" s="1003"/>
      <c r="L18" s="1003"/>
      <c r="M18" s="1003"/>
      <c r="N18" s="1003"/>
      <c r="O18" s="1003"/>
      <c r="P18" s="1010" t="s">
        <v>406</v>
      </c>
      <c r="Q18" s="1011">
        <f>SUM(J18:O18)</f>
        <v>0</v>
      </c>
      <c r="R18" s="1007" t="s">
        <v>888</v>
      </c>
      <c r="S18" s="989"/>
      <c r="T18" s="989"/>
      <c r="U18" s="989"/>
      <c r="V18" s="989"/>
      <c r="W18" s="989"/>
    </row>
    <row r="19" spans="1:23">
      <c r="A19" s="986" t="s">
        <v>889</v>
      </c>
      <c r="B19" s="1002" t="s">
        <v>890</v>
      </c>
      <c r="C19" s="986" t="s">
        <v>891</v>
      </c>
      <c r="D19" s="986" t="s">
        <v>878</v>
      </c>
      <c r="E19" s="986" t="s">
        <v>869</v>
      </c>
      <c r="F19" s="1008"/>
      <c r="G19" s="1009"/>
      <c r="H19" s="1009"/>
      <c r="I19" s="1003"/>
      <c r="J19" s="1004"/>
      <c r="K19" s="1003"/>
      <c r="L19" s="1003"/>
      <c r="M19" s="1003"/>
      <c r="N19" s="1003"/>
      <c r="O19" s="1003"/>
      <c r="P19" s="1005">
        <f>SUM(I19:O19)</f>
        <v>0</v>
      </c>
      <c r="Q19" s="1010"/>
      <c r="R19" s="1007" t="s">
        <v>892</v>
      </c>
      <c r="S19" s="989"/>
      <c r="T19" s="989"/>
      <c r="U19" s="989"/>
      <c r="V19" s="989"/>
      <c r="W19" s="989"/>
    </row>
    <row r="20" spans="1:23">
      <c r="A20" s="986" t="s">
        <v>893</v>
      </c>
      <c r="B20" s="1009" t="s">
        <v>894</v>
      </c>
      <c r="F20" s="1008"/>
      <c r="G20" s="1009"/>
      <c r="H20" s="1009"/>
      <c r="I20" s="1003"/>
      <c r="J20" s="1003"/>
      <c r="K20" s="1003"/>
      <c r="L20" s="1003"/>
      <c r="M20" s="1003"/>
      <c r="N20" s="1003"/>
      <c r="O20" s="1003"/>
      <c r="P20" s="1006"/>
      <c r="Q20" s="1005"/>
      <c r="R20" s="1014"/>
      <c r="S20" s="989"/>
      <c r="T20" s="989"/>
      <c r="U20" s="989"/>
      <c r="V20" s="989"/>
      <c r="W20" s="989"/>
    </row>
    <row r="21" spans="1:23" ht="12.75">
      <c r="B21"/>
      <c r="C21"/>
      <c r="D21"/>
      <c r="E21"/>
      <c r="F21"/>
      <c r="G21"/>
      <c r="H21"/>
      <c r="I21"/>
      <c r="J21"/>
      <c r="K21"/>
      <c r="L21"/>
      <c r="M21"/>
      <c r="N21"/>
      <c r="O21"/>
      <c r="P21"/>
      <c r="Q21"/>
      <c r="R21"/>
      <c r="S21" s="989"/>
      <c r="T21" s="989"/>
      <c r="U21" s="989"/>
      <c r="V21" s="989"/>
      <c r="W21" s="989"/>
    </row>
    <row r="22" spans="1:23" s="989" customFormat="1">
      <c r="A22" s="986"/>
      <c r="B22" s="1000" t="s">
        <v>895</v>
      </c>
    </row>
    <row r="23" spans="1:23">
      <c r="A23" s="986" t="s">
        <v>896</v>
      </c>
      <c r="B23" s="987">
        <v>182.3</v>
      </c>
      <c r="C23" s="1015" t="s">
        <v>897</v>
      </c>
      <c r="D23" s="1016" t="s">
        <v>406</v>
      </c>
      <c r="E23" s="986" t="s">
        <v>869</v>
      </c>
      <c r="F23" s="1016"/>
      <c r="G23" s="1016" t="s">
        <v>406</v>
      </c>
      <c r="H23" s="1016"/>
      <c r="I23" s="1017"/>
      <c r="J23" s="1003"/>
      <c r="K23" s="1003"/>
      <c r="L23" s="1003"/>
      <c r="M23" s="1003"/>
      <c r="N23" s="1003"/>
      <c r="O23" s="1004"/>
      <c r="P23" s="1006">
        <f>SUM(I23:O23)</f>
        <v>0</v>
      </c>
      <c r="Q23" s="1018"/>
      <c r="R23" s="1007" t="s">
        <v>898</v>
      </c>
      <c r="S23" s="989"/>
      <c r="T23" s="989"/>
      <c r="U23" s="989"/>
      <c r="V23" s="989"/>
      <c r="W23" s="989"/>
    </row>
    <row r="24" spans="1:23">
      <c r="A24" s="986" t="s">
        <v>899</v>
      </c>
      <c r="B24" s="987">
        <v>254</v>
      </c>
      <c r="C24" s="1015" t="s">
        <v>900</v>
      </c>
      <c r="D24" s="1016" t="s">
        <v>406</v>
      </c>
      <c r="E24" s="986" t="s">
        <v>869</v>
      </c>
      <c r="F24" s="1016"/>
      <c r="G24" s="1016" t="s">
        <v>406</v>
      </c>
      <c r="H24" s="1016"/>
      <c r="I24" s="1017"/>
      <c r="J24" s="1003"/>
      <c r="K24" s="1003"/>
      <c r="L24" s="1003"/>
      <c r="M24" s="1003"/>
      <c r="N24" s="1003"/>
      <c r="O24" s="1004"/>
      <c r="P24" s="1006">
        <f>SUM(I24:O24)</f>
        <v>0</v>
      </c>
      <c r="Q24" s="1018"/>
      <c r="R24" s="1007" t="s">
        <v>901</v>
      </c>
      <c r="S24" s="989"/>
      <c r="T24" s="989"/>
      <c r="U24" s="989"/>
      <c r="V24" s="989"/>
      <c r="W24" s="989"/>
    </row>
    <row r="25" spans="1:23">
      <c r="A25" s="986" t="s">
        <v>902</v>
      </c>
      <c r="B25" s="1009" t="s">
        <v>894</v>
      </c>
      <c r="C25" s="1015"/>
      <c r="D25" s="1016"/>
      <c r="F25" s="1016"/>
      <c r="G25" s="1016"/>
      <c r="H25" s="1016"/>
      <c r="I25" s="1003"/>
      <c r="J25" s="1003"/>
      <c r="K25" s="1003"/>
      <c r="L25" s="1003"/>
      <c r="M25" s="1003"/>
      <c r="N25" s="1003"/>
      <c r="O25" s="1016"/>
      <c r="P25" s="1018"/>
      <c r="Q25" s="1018"/>
      <c r="R25" s="1007"/>
      <c r="S25" s="989"/>
      <c r="T25" s="989"/>
      <c r="U25" s="989"/>
      <c r="V25" s="989"/>
      <c r="W25" s="989"/>
    </row>
    <row r="26" spans="1:23">
      <c r="C26" s="1015"/>
      <c r="D26" s="993"/>
      <c r="E26" s="993"/>
      <c r="F26" s="993"/>
      <c r="G26" s="993"/>
      <c r="H26" s="993"/>
      <c r="I26" s="993"/>
      <c r="J26" s="993"/>
      <c r="K26" s="993"/>
      <c r="L26" s="993"/>
      <c r="M26" s="993"/>
      <c r="N26" s="993"/>
      <c r="O26" s="993"/>
      <c r="P26" s="993"/>
      <c r="Q26" s="993"/>
      <c r="R26" s="1019"/>
      <c r="S26" s="989"/>
      <c r="T26" s="989"/>
      <c r="U26" s="989"/>
      <c r="V26" s="989"/>
      <c r="W26" s="989"/>
    </row>
    <row r="27" spans="1:23" ht="12.75" thickBot="1">
      <c r="A27" s="1020">
        <v>3</v>
      </c>
      <c r="B27" s="1166" t="str">
        <f>"Total For Accounting Entires (Sum of Lines "&amp;A13&amp;" through "&amp;A24&amp;")"</f>
        <v>Total For Accounting Entires (Sum of Lines 1a through 2b)</v>
      </c>
      <c r="C27" s="1166"/>
      <c r="D27" s="1016"/>
      <c r="E27" s="1016"/>
      <c r="F27" s="1016"/>
      <c r="G27" s="1016"/>
      <c r="H27" s="1016"/>
      <c r="I27" s="1021">
        <f>SUM(I13:I26)</f>
        <v>0</v>
      </c>
      <c r="J27" s="1022">
        <f>SUM(J13:J26)</f>
        <v>0</v>
      </c>
      <c r="K27" s="1023">
        <f>SUM(K13:K26)</f>
        <v>0</v>
      </c>
      <c r="L27" s="1023">
        <f>SUM(L13:L26)</f>
        <v>0</v>
      </c>
      <c r="M27" s="1023">
        <f>SUM(M13:M26)</f>
        <v>0</v>
      </c>
      <c r="N27" s="1022">
        <f>-SUM(N13:N26)</f>
        <v>0</v>
      </c>
      <c r="O27" s="1022">
        <f>-SUM(O13:O26)</f>
        <v>0</v>
      </c>
      <c r="P27" s="1023">
        <f>SUM(P13:P26)</f>
        <v>0</v>
      </c>
      <c r="Q27" s="1022">
        <f>SUM(Q13:Q26)</f>
        <v>0</v>
      </c>
      <c r="R27" s="1024"/>
      <c r="S27" s="989"/>
      <c r="T27" s="989"/>
      <c r="U27" s="989"/>
      <c r="V27" s="989"/>
      <c r="W27" s="989"/>
    </row>
    <row r="28" spans="1:23" ht="12.75" thickTop="1">
      <c r="C28" s="1015"/>
      <c r="D28" s="993"/>
      <c r="E28" s="993"/>
      <c r="F28" s="993"/>
      <c r="G28" s="993"/>
      <c r="H28" s="993"/>
      <c r="I28" s="1025"/>
      <c r="J28" s="1013"/>
      <c r="K28" s="1026"/>
      <c r="L28" s="1026"/>
      <c r="M28" s="1026"/>
      <c r="N28" s="1027" t="s">
        <v>903</v>
      </c>
      <c r="O28" s="1027"/>
      <c r="P28" s="1026"/>
      <c r="Q28" s="1028"/>
      <c r="R28" s="1024"/>
      <c r="S28" s="989"/>
      <c r="T28" s="989"/>
      <c r="U28" s="989"/>
      <c r="V28" s="989"/>
      <c r="W28" s="989"/>
    </row>
    <row r="29" spans="1:23">
      <c r="B29" s="986"/>
      <c r="C29" s="1015"/>
      <c r="D29" s="993"/>
      <c r="E29" s="993"/>
      <c r="F29" s="993"/>
      <c r="G29" s="993"/>
      <c r="H29" s="993"/>
      <c r="I29" s="1025"/>
      <c r="J29" s="1028"/>
      <c r="K29" s="1026"/>
      <c r="L29" s="1026"/>
      <c r="M29" s="1026"/>
      <c r="N29" s="1028"/>
      <c r="O29" s="1028"/>
      <c r="P29" s="1026"/>
      <c r="Q29" s="1028"/>
      <c r="R29" s="1024"/>
      <c r="S29" s="989"/>
      <c r="T29" s="989"/>
      <c r="U29" s="989"/>
      <c r="V29" s="989"/>
      <c r="W29" s="989"/>
    </row>
    <row r="30" spans="1:23">
      <c r="A30" s="1029" t="s">
        <v>904</v>
      </c>
      <c r="B30" s="1167" t="s">
        <v>905</v>
      </c>
      <c r="C30" s="1167"/>
      <c r="D30" s="1167"/>
      <c r="E30" s="1167"/>
      <c r="F30" s="1167"/>
      <c r="G30" s="1167"/>
      <c r="H30" s="1167"/>
      <c r="I30" s="1167"/>
      <c r="J30" s="1167"/>
      <c r="K30" s="1030"/>
      <c r="O30" s="1031"/>
      <c r="P30" s="1031"/>
      <c r="Q30" s="1031"/>
      <c r="R30" s="989"/>
    </row>
    <row r="31" spans="1:23">
      <c r="B31" s="1167"/>
      <c r="C31" s="1167"/>
      <c r="D31" s="1167"/>
      <c r="E31" s="1167"/>
      <c r="F31" s="1167"/>
      <c r="G31" s="1167"/>
      <c r="H31" s="1167"/>
      <c r="I31" s="1167"/>
      <c r="J31" s="1167"/>
      <c r="K31" s="1030"/>
      <c r="O31" s="1031"/>
      <c r="R31" s="989"/>
    </row>
    <row r="32" spans="1:23">
      <c r="B32" s="1167"/>
      <c r="C32" s="1167"/>
      <c r="D32" s="1167"/>
      <c r="E32" s="1167"/>
      <c r="F32" s="1167"/>
      <c r="G32" s="1167"/>
      <c r="H32" s="1167"/>
      <c r="I32" s="1167"/>
      <c r="J32" s="1167"/>
      <c r="K32" s="1030"/>
      <c r="R32" s="989"/>
    </row>
    <row r="33" spans="1:18">
      <c r="B33" s="1167"/>
      <c r="C33" s="1167"/>
      <c r="D33" s="1167"/>
      <c r="E33" s="1167"/>
      <c r="F33" s="1167"/>
      <c r="G33" s="1167"/>
      <c r="H33" s="1167"/>
      <c r="I33" s="1167"/>
      <c r="J33" s="1167"/>
      <c r="K33" s="1030"/>
      <c r="P33" s="1031"/>
      <c r="Q33" s="1031"/>
      <c r="R33" s="989"/>
    </row>
    <row r="34" spans="1:18">
      <c r="B34" s="1167"/>
      <c r="C34" s="1167"/>
      <c r="D34" s="1167"/>
      <c r="E34" s="1167"/>
      <c r="F34" s="1167"/>
      <c r="G34" s="1167"/>
      <c r="H34" s="1167"/>
      <c r="I34" s="1167"/>
      <c r="J34" s="1167"/>
      <c r="K34" s="1030"/>
      <c r="R34" s="989"/>
    </row>
    <row r="35" spans="1:18">
      <c r="B35" s="1167"/>
      <c r="C35" s="1167"/>
      <c r="D35" s="1167"/>
      <c r="E35" s="1167"/>
      <c r="F35" s="1167"/>
      <c r="G35" s="1167"/>
      <c r="H35" s="1167"/>
      <c r="I35" s="1167"/>
      <c r="J35" s="1167"/>
      <c r="K35" s="1030"/>
      <c r="R35" s="989"/>
    </row>
    <row r="36" spans="1:18">
      <c r="B36" s="1030"/>
      <c r="C36" s="1030"/>
      <c r="D36" s="1030"/>
      <c r="E36" s="1030"/>
      <c r="F36" s="1030"/>
      <c r="G36" s="1030"/>
      <c r="H36" s="1030"/>
      <c r="I36" s="1030"/>
      <c r="J36" s="1030"/>
      <c r="K36" s="1030"/>
      <c r="R36" s="989"/>
    </row>
    <row r="37" spans="1:18">
      <c r="A37" s="986" t="s">
        <v>906</v>
      </c>
      <c r="B37" s="1032" t="s">
        <v>907</v>
      </c>
      <c r="C37" s="1032"/>
      <c r="D37" s="1032"/>
      <c r="E37" s="1032"/>
      <c r="F37" s="1032"/>
      <c r="G37" s="1032"/>
      <c r="H37" s="1032"/>
      <c r="I37" s="1032"/>
      <c r="J37" s="1032"/>
      <c r="K37" s="1030"/>
      <c r="R37" s="989"/>
    </row>
    <row r="38" spans="1:18">
      <c r="B38" s="1030"/>
      <c r="C38" s="1030"/>
      <c r="D38" s="1030"/>
      <c r="E38" s="1030"/>
      <c r="F38" s="1030"/>
      <c r="G38" s="1030"/>
      <c r="H38" s="1030"/>
      <c r="I38" s="1030"/>
      <c r="J38" s="1030"/>
      <c r="K38" s="1030"/>
      <c r="R38" s="989"/>
    </row>
    <row r="39" spans="1:18">
      <c r="A39" s="986" t="s">
        <v>908</v>
      </c>
      <c r="B39" s="1167" t="s">
        <v>909</v>
      </c>
      <c r="C39" s="1167"/>
      <c r="D39" s="1167"/>
      <c r="E39" s="1167"/>
      <c r="F39" s="1167"/>
      <c r="G39" s="1167"/>
      <c r="H39" s="1167"/>
      <c r="I39" s="1167"/>
      <c r="J39" s="1167"/>
      <c r="K39" s="1030"/>
      <c r="R39" s="989"/>
    </row>
    <row r="40" spans="1:18">
      <c r="B40" s="1167"/>
      <c r="C40" s="1167"/>
      <c r="D40" s="1167"/>
      <c r="E40" s="1167"/>
      <c r="F40" s="1167"/>
      <c r="G40" s="1167"/>
      <c r="H40" s="1167"/>
      <c r="I40" s="1167"/>
      <c r="J40" s="1167"/>
      <c r="K40" s="1030"/>
      <c r="R40" s="989"/>
    </row>
    <row r="41" spans="1:18">
      <c r="B41" s="1030"/>
      <c r="C41" s="1030"/>
      <c r="D41" s="1030"/>
      <c r="E41" s="1030"/>
      <c r="F41" s="1030"/>
      <c r="G41" s="1030"/>
      <c r="H41" s="1030"/>
      <c r="I41" s="1030"/>
      <c r="J41" s="1030"/>
      <c r="K41" s="1030"/>
      <c r="R41" s="989"/>
    </row>
    <row r="42" spans="1:18">
      <c r="A42" s="986" t="s">
        <v>910</v>
      </c>
      <c r="B42" s="1020" t="s">
        <v>911</v>
      </c>
      <c r="C42" s="1030"/>
      <c r="D42" s="1030"/>
      <c r="E42" s="1030"/>
      <c r="F42" s="1030"/>
      <c r="G42" s="1030"/>
      <c r="H42" s="1030"/>
      <c r="I42" s="1030"/>
      <c r="J42" s="1030"/>
      <c r="K42" s="1030"/>
      <c r="R42" s="989"/>
    </row>
    <row r="43" spans="1:18">
      <c r="B43" s="1020"/>
      <c r="C43" s="1030"/>
      <c r="D43" s="1030"/>
      <c r="E43" s="1030"/>
      <c r="F43" s="1030"/>
      <c r="G43" s="1030"/>
      <c r="H43" s="1030"/>
      <c r="I43" s="1030"/>
      <c r="J43" s="1030"/>
      <c r="K43" s="1030"/>
      <c r="R43" s="989"/>
    </row>
    <row r="44" spans="1:18">
      <c r="A44" s="1020" t="s">
        <v>912</v>
      </c>
      <c r="B44" s="1167" t="str">
        <f>"The amount of excess amortization entries shown in lines "&amp;A13&amp;" through "&amp;A20&amp;"  are shown as a debit or credit to the ADIT account from which it is being amortized.  The total in line "&amp;A27&amp;" is the offset as charged to the 410/411 account."</f>
        <v>The amount of excess amortization entries shown in lines 1a through 1h  are shown as a debit or credit to the ADIT account from which it is being amortized.  The total in line 3 is the offset as charged to the 410/411 account.</v>
      </c>
      <c r="C44" s="1167"/>
      <c r="D44" s="1167"/>
      <c r="E44" s="1167"/>
      <c r="F44" s="1167"/>
      <c r="G44" s="1167"/>
      <c r="H44" s="1167"/>
      <c r="I44" s="1167"/>
      <c r="J44" s="1030"/>
      <c r="R44" s="989"/>
    </row>
    <row r="45" spans="1:18">
      <c r="B45" s="1167"/>
      <c r="C45" s="1167"/>
      <c r="D45" s="1167"/>
      <c r="E45" s="1167"/>
      <c r="F45" s="1167"/>
      <c r="G45" s="1167"/>
      <c r="H45" s="1167"/>
      <c r="I45" s="1167"/>
      <c r="J45" s="1030"/>
      <c r="R45" s="989"/>
    </row>
    <row r="46" spans="1:18">
      <c r="R46" s="989"/>
    </row>
    <row r="47" spans="1:18">
      <c r="R47" s="989"/>
    </row>
    <row r="48" spans="1:18">
      <c r="R48" s="989"/>
    </row>
    <row r="53" spans="1:11">
      <c r="A53" s="1029"/>
      <c r="B53" s="1029"/>
      <c r="C53" s="1029"/>
      <c r="D53" s="1029"/>
      <c r="E53" s="1029"/>
      <c r="F53" s="1029"/>
      <c r="G53" s="1029"/>
      <c r="H53" s="1029"/>
      <c r="I53" s="1029"/>
      <c r="J53" s="1029"/>
      <c r="K53" s="1029"/>
    </row>
    <row r="54" spans="1:11">
      <c r="A54" s="1029"/>
      <c r="B54" s="1029"/>
      <c r="C54" s="1029"/>
      <c r="D54" s="1029"/>
      <c r="E54" s="1029"/>
      <c r="F54" s="1029"/>
      <c r="G54" s="1029"/>
      <c r="H54" s="1029"/>
      <c r="I54" s="1029"/>
      <c r="J54" s="1029"/>
      <c r="K54" s="1029"/>
    </row>
    <row r="55" spans="1:11">
      <c r="D55" s="1029"/>
      <c r="E55" s="1029"/>
      <c r="F55" s="1029"/>
      <c r="G55" s="1029"/>
      <c r="H55" s="1029"/>
      <c r="I55" s="1029"/>
      <c r="J55" s="1029"/>
      <c r="K55" s="1029"/>
    </row>
    <row r="56" spans="1:11">
      <c r="A56" s="1029"/>
      <c r="B56" s="1029"/>
      <c r="C56" s="1029"/>
      <c r="D56" s="1029"/>
      <c r="E56" s="1029"/>
      <c r="F56" s="1029"/>
      <c r="G56" s="1029"/>
      <c r="H56" s="1029"/>
      <c r="I56" s="1029"/>
      <c r="J56" s="1029"/>
      <c r="K56" s="1029"/>
    </row>
    <row r="57" spans="1:11">
      <c r="A57" s="1029"/>
      <c r="B57" s="1029"/>
      <c r="C57" s="1029"/>
      <c r="D57" s="1029"/>
      <c r="E57" s="1029"/>
      <c r="F57" s="1029"/>
      <c r="G57" s="1029"/>
      <c r="H57" s="1029"/>
      <c r="I57" s="1029"/>
      <c r="J57" s="1029"/>
      <c r="K57" s="1029"/>
    </row>
    <row r="58" spans="1:11">
      <c r="A58" s="1029"/>
      <c r="B58" s="1029"/>
      <c r="C58" s="1029"/>
      <c r="D58" s="1029"/>
      <c r="E58" s="1029"/>
      <c r="F58" s="1029"/>
      <c r="G58" s="1029"/>
      <c r="H58" s="1029"/>
      <c r="I58" s="1029"/>
      <c r="J58" s="1029"/>
      <c r="K58" s="1029"/>
    </row>
    <row r="59" spans="1:11">
      <c r="A59" s="1029"/>
      <c r="B59" s="1029"/>
      <c r="C59" s="1029"/>
      <c r="D59" s="1029"/>
      <c r="E59" s="1029"/>
      <c r="F59" s="1029"/>
      <c r="G59" s="1029"/>
      <c r="H59" s="1029"/>
      <c r="I59" s="1029"/>
      <c r="J59" s="1029"/>
      <c r="K59" s="1029"/>
    </row>
    <row r="60" spans="1:11">
      <c r="A60" s="1029"/>
      <c r="B60" s="1029"/>
      <c r="C60" s="1029"/>
      <c r="D60" s="1029"/>
      <c r="E60" s="1029"/>
      <c r="F60" s="1029"/>
      <c r="G60" s="1029"/>
      <c r="H60" s="1029"/>
      <c r="I60" s="1029"/>
      <c r="J60" s="1029"/>
      <c r="K60" s="1029"/>
    </row>
    <row r="61" spans="1:11">
      <c r="A61" s="1029"/>
      <c r="B61" s="1029"/>
      <c r="C61" s="1029"/>
      <c r="D61" s="1029"/>
      <c r="E61" s="1029"/>
      <c r="F61" s="1029"/>
      <c r="G61" s="1029"/>
      <c r="H61" s="1029"/>
      <c r="I61" s="1029"/>
      <c r="J61" s="1029"/>
      <c r="K61" s="1029"/>
    </row>
    <row r="62" spans="1:11">
      <c r="A62" s="1029"/>
      <c r="B62" s="1029"/>
      <c r="C62" s="1029"/>
      <c r="D62" s="1029"/>
      <c r="E62" s="1029"/>
      <c r="F62" s="1029"/>
      <c r="G62" s="1029"/>
      <c r="H62" s="1029"/>
      <c r="I62" s="1029"/>
      <c r="J62" s="1029"/>
      <c r="K62" s="1029"/>
    </row>
    <row r="63" spans="1:11">
      <c r="A63" s="1029"/>
      <c r="B63" s="1029"/>
      <c r="C63" s="1029"/>
      <c r="D63" s="1029"/>
      <c r="E63" s="1029"/>
      <c r="F63" s="1029"/>
      <c r="G63" s="1029"/>
      <c r="H63" s="1029"/>
      <c r="I63" s="1029"/>
      <c r="J63" s="1029"/>
      <c r="K63" s="1029"/>
    </row>
    <row r="70" spans="1:11">
      <c r="B70" s="1020"/>
    </row>
    <row r="71" spans="1:11">
      <c r="B71" s="986"/>
    </row>
    <row r="72" spans="1:11">
      <c r="B72" s="986"/>
    </row>
    <row r="73" spans="1:11">
      <c r="B73" s="986"/>
    </row>
    <row r="74" spans="1:11">
      <c r="B74" s="986"/>
    </row>
    <row r="75" spans="1:11">
      <c r="A75" s="1033"/>
      <c r="B75" s="1029"/>
      <c r="C75" s="1029"/>
      <c r="D75" s="1029"/>
      <c r="E75" s="1029"/>
      <c r="F75" s="1029"/>
      <c r="G75" s="1029"/>
      <c r="H75" s="1029"/>
      <c r="I75" s="1029"/>
      <c r="J75" s="1029"/>
      <c r="K75" s="1029"/>
    </row>
    <row r="76" spans="1:11">
      <c r="A76" s="1029"/>
      <c r="B76" s="1029"/>
      <c r="C76" s="1029"/>
      <c r="D76" s="1029"/>
      <c r="E76" s="1029"/>
      <c r="F76" s="1029"/>
      <c r="G76" s="1029"/>
      <c r="H76" s="1029"/>
      <c r="I76" s="1029"/>
      <c r="J76" s="1029"/>
      <c r="K76" s="1029"/>
    </row>
    <row r="77" spans="1:11">
      <c r="A77" s="1029"/>
      <c r="B77" s="1029"/>
      <c r="C77" s="1029"/>
      <c r="D77" s="1029"/>
      <c r="E77" s="1029"/>
      <c r="F77" s="1029"/>
      <c r="G77" s="1029"/>
      <c r="H77" s="1029"/>
      <c r="I77" s="1029"/>
      <c r="J77" s="1029"/>
      <c r="K77" s="1029"/>
    </row>
    <row r="78" spans="1:11">
      <c r="A78" s="1029"/>
      <c r="B78" s="1029"/>
      <c r="C78" s="1029"/>
      <c r="D78" s="1029"/>
      <c r="E78" s="1029"/>
      <c r="F78" s="1029"/>
      <c r="G78" s="1029"/>
      <c r="H78" s="1029"/>
      <c r="I78" s="1029"/>
      <c r="J78" s="1029"/>
      <c r="K78" s="1029"/>
    </row>
    <row r="79" spans="1:11">
      <c r="A79" s="1029"/>
      <c r="B79" s="1029"/>
      <c r="C79" s="1029"/>
      <c r="D79" s="1034"/>
      <c r="E79" s="1034"/>
      <c r="F79" s="1034"/>
      <c r="G79" s="1029"/>
      <c r="H79" s="1029"/>
      <c r="I79" s="1029"/>
      <c r="J79" s="1029"/>
      <c r="K79" s="1029"/>
    </row>
    <row r="80" spans="1:11">
      <c r="A80" s="1029"/>
      <c r="B80" s="1029"/>
      <c r="C80" s="1029"/>
      <c r="D80" s="1031"/>
      <c r="E80" s="1031"/>
      <c r="F80" s="1031"/>
      <c r="G80" s="1029"/>
      <c r="H80" s="1029"/>
      <c r="I80" s="1029"/>
      <c r="J80" s="1029"/>
      <c r="K80" s="1029"/>
    </row>
    <row r="81" spans="1:11">
      <c r="A81" s="1029"/>
      <c r="B81" s="1029"/>
      <c r="C81" s="1029"/>
      <c r="D81" s="1034"/>
      <c r="E81" s="1034"/>
      <c r="F81" s="1034"/>
      <c r="G81" s="1029"/>
      <c r="H81" s="1029"/>
      <c r="I81" s="1029"/>
      <c r="J81" s="1029"/>
      <c r="K81" s="1029"/>
    </row>
    <row r="82" spans="1:11">
      <c r="A82" s="1029"/>
      <c r="B82" s="1029"/>
      <c r="C82" s="1029"/>
      <c r="D82" s="1029"/>
      <c r="E82" s="1029"/>
      <c r="F82" s="1029"/>
      <c r="G82" s="1029"/>
      <c r="H82" s="1029"/>
      <c r="I82" s="1029"/>
      <c r="J82" s="1029"/>
      <c r="K82" s="1029"/>
    </row>
    <row r="83" spans="1:11">
      <c r="A83" s="1029"/>
      <c r="B83" s="1029"/>
      <c r="C83" s="1029"/>
      <c r="D83" s="1029"/>
      <c r="E83" s="1029"/>
      <c r="F83" s="1029"/>
      <c r="G83" s="1029"/>
      <c r="H83" s="1029"/>
      <c r="I83" s="1029"/>
      <c r="J83" s="1029"/>
      <c r="K83" s="1029"/>
    </row>
    <row r="84" spans="1:11">
      <c r="A84" s="1029"/>
      <c r="B84" s="1029"/>
      <c r="C84" s="1029"/>
      <c r="D84" s="1029"/>
      <c r="E84" s="1029"/>
      <c r="F84" s="1029"/>
      <c r="G84" s="1029"/>
      <c r="H84" s="1029"/>
      <c r="I84" s="1029"/>
      <c r="J84" s="1029"/>
      <c r="K84" s="1029"/>
    </row>
    <row r="85" spans="1:11">
      <c r="A85" s="1029"/>
      <c r="C85" s="1029"/>
      <c r="D85" s="1029"/>
      <c r="E85" s="1029"/>
      <c r="F85" s="1029"/>
      <c r="G85" s="1029"/>
      <c r="H85" s="1029"/>
      <c r="I85" s="1029"/>
      <c r="J85" s="1029"/>
      <c r="K85" s="1029"/>
    </row>
    <row r="86" spans="1:11">
      <c r="A86" s="1029"/>
      <c r="B86" s="1029"/>
      <c r="C86" s="1029"/>
      <c r="D86" s="1029"/>
      <c r="E86" s="1029"/>
      <c r="F86" s="1029"/>
      <c r="G86" s="1029"/>
      <c r="H86" s="1029"/>
      <c r="I86" s="1029"/>
      <c r="J86" s="1029"/>
      <c r="K86" s="1029"/>
    </row>
    <row r="87" spans="1:11">
      <c r="A87" s="1029"/>
      <c r="B87" s="1029"/>
      <c r="C87" s="1029"/>
      <c r="D87" s="1029"/>
      <c r="E87" s="1029"/>
      <c r="F87" s="1029"/>
      <c r="G87" s="1029"/>
      <c r="H87" s="1029"/>
      <c r="I87" s="1029"/>
      <c r="J87" s="1029"/>
      <c r="K87" s="1029"/>
    </row>
  </sheetData>
  <mergeCells count="10">
    <mergeCell ref="R16:R17"/>
    <mergeCell ref="B27:C27"/>
    <mergeCell ref="B30:J35"/>
    <mergeCell ref="B39:J40"/>
    <mergeCell ref="B44:I45"/>
    <mergeCell ref="I9:J9"/>
    <mergeCell ref="K9:M9"/>
    <mergeCell ref="N9:O9"/>
    <mergeCell ref="P9:Q9"/>
    <mergeCell ref="P11:Q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2CD55-373A-4998-9D8A-56736895CDED}">
  <dimension ref="A1:O42"/>
  <sheetViews>
    <sheetView workbookViewId="0">
      <selection activeCell="L29" sqref="L29"/>
    </sheetView>
  </sheetViews>
  <sheetFormatPr defaultRowHeight="12.75"/>
  <cols>
    <col min="1" max="4" width="9.140625" style="1047"/>
    <col min="5" max="5" width="30.28515625" style="1047" bestFit="1" customWidth="1"/>
    <col min="6" max="6" width="13" style="1047" customWidth="1"/>
    <col min="7" max="7" width="9.140625" style="1047"/>
    <col min="8" max="8" width="15.28515625" style="1047" customWidth="1"/>
    <col min="9" max="9" width="2.42578125" style="1047" customWidth="1"/>
    <col min="10" max="10" width="14.7109375" style="1047" customWidth="1"/>
    <col min="11" max="11" width="2.5703125" style="1047" customWidth="1"/>
    <col min="12" max="12" width="18.42578125" style="1047" customWidth="1"/>
    <col min="13" max="13" width="13.42578125" style="1047" customWidth="1"/>
    <col min="14" max="14" width="4.42578125" style="1047" customWidth="1"/>
    <col min="15" max="15" width="15.28515625" style="1047" customWidth="1"/>
    <col min="16" max="16384" width="9.140625" style="1047"/>
  </cols>
  <sheetData>
    <row r="1" spans="1:15" ht="15">
      <c r="A1" s="1046" t="s">
        <v>959</v>
      </c>
      <c r="L1" s="1048"/>
      <c r="M1" s="1048"/>
      <c r="N1" s="1049"/>
      <c r="O1" s="1050" t="s">
        <v>960</v>
      </c>
    </row>
    <row r="2" spans="1:15">
      <c r="A2" s="1046" t="s">
        <v>961</v>
      </c>
      <c r="N2" s="1049"/>
      <c r="O2" s="1051" t="s">
        <v>962</v>
      </c>
    </row>
    <row r="3" spans="1:15">
      <c r="A3" s="1046" t="s">
        <v>963</v>
      </c>
      <c r="N3" s="1049"/>
      <c r="O3" s="1051" t="s">
        <v>964</v>
      </c>
    </row>
    <row r="4" spans="1:15">
      <c r="A4" s="1046" t="s">
        <v>965</v>
      </c>
      <c r="N4" s="1049"/>
      <c r="O4" s="1050" t="s">
        <v>966</v>
      </c>
    </row>
    <row r="5" spans="1:15">
      <c r="A5" s="1046" t="s">
        <v>967</v>
      </c>
      <c r="N5" s="1049"/>
      <c r="O5" s="1052"/>
    </row>
    <row r="6" spans="1:15">
      <c r="A6" s="1046" t="s">
        <v>844</v>
      </c>
      <c r="N6" s="1049"/>
    </row>
    <row r="7" spans="1:15">
      <c r="A7" s="1169" t="s">
        <v>968</v>
      </c>
      <c r="B7" s="1169"/>
      <c r="C7" s="1169"/>
      <c r="D7" s="1169"/>
      <c r="E7" s="1169"/>
      <c r="F7" s="1169"/>
      <c r="G7" s="1169"/>
      <c r="H7" s="1169"/>
      <c r="I7" s="1169"/>
      <c r="J7" s="1169"/>
      <c r="K7" s="1169"/>
      <c r="L7" s="1169"/>
      <c r="M7" s="1053"/>
      <c r="N7" s="1049"/>
    </row>
    <row r="8" spans="1:15">
      <c r="A8" s="1046"/>
      <c r="N8" s="1049"/>
    </row>
    <row r="9" spans="1:15">
      <c r="A9" s="1054" t="s">
        <v>438</v>
      </c>
      <c r="B9" s="1055" t="s">
        <v>439</v>
      </c>
      <c r="C9" s="1055"/>
      <c r="D9" s="1055" t="s">
        <v>440</v>
      </c>
      <c r="E9" s="1055" t="s">
        <v>441</v>
      </c>
      <c r="F9" s="1055" t="s">
        <v>442</v>
      </c>
      <c r="G9" s="1055"/>
      <c r="H9" s="1055" t="s">
        <v>969</v>
      </c>
      <c r="I9" s="1055"/>
      <c r="J9" s="1055" t="s">
        <v>444</v>
      </c>
      <c r="K9" s="1055"/>
      <c r="L9" s="1055" t="s">
        <v>970</v>
      </c>
      <c r="M9" s="1055" t="s">
        <v>446</v>
      </c>
      <c r="N9" s="1049"/>
      <c r="O9" s="1055" t="s">
        <v>971</v>
      </c>
    </row>
    <row r="10" spans="1:15">
      <c r="A10" s="1056"/>
      <c r="F10" s="1057"/>
      <c r="G10" s="1057"/>
      <c r="H10" s="1057"/>
      <c r="N10" s="1049"/>
    </row>
    <row r="11" spans="1:15" ht="63.75">
      <c r="A11" s="1056" t="s">
        <v>972</v>
      </c>
      <c r="B11" s="1047" t="s">
        <v>973</v>
      </c>
      <c r="D11" s="1058" t="s">
        <v>974</v>
      </c>
      <c r="E11" s="1055" t="s">
        <v>862</v>
      </c>
      <c r="F11" s="1058" t="s">
        <v>975</v>
      </c>
      <c r="G11" s="1058"/>
      <c r="H11" s="1058" t="s">
        <v>976</v>
      </c>
      <c r="J11" s="1058" t="s">
        <v>977</v>
      </c>
      <c r="L11" s="1058" t="s">
        <v>978</v>
      </c>
      <c r="M11" s="1058" t="s">
        <v>979</v>
      </c>
      <c r="N11" s="1049"/>
      <c r="O11" s="1058" t="s">
        <v>980</v>
      </c>
    </row>
    <row r="12" spans="1:15">
      <c r="A12" s="1046"/>
      <c r="D12" s="1049"/>
      <c r="E12" s="1049"/>
      <c r="F12" s="1049"/>
      <c r="G12" s="1049"/>
      <c r="H12" s="1049"/>
      <c r="I12" s="1049"/>
      <c r="J12" s="1049"/>
      <c r="K12" s="1049"/>
      <c r="L12" s="1049"/>
      <c r="M12" s="1049"/>
      <c r="N12" s="1049"/>
    </row>
    <row r="13" spans="1:15">
      <c r="A13" s="1059">
        <v>1</v>
      </c>
      <c r="B13" s="1060" t="s">
        <v>981</v>
      </c>
      <c r="D13" s="1049">
        <v>30979</v>
      </c>
      <c r="E13" s="1049" t="s">
        <v>982</v>
      </c>
      <c r="K13" s="1049"/>
      <c r="L13" s="1049"/>
      <c r="M13" s="1049"/>
      <c r="N13" s="1049"/>
    </row>
    <row r="14" spans="1:15">
      <c r="A14" s="1059">
        <f>+A13+1</f>
        <v>2</v>
      </c>
      <c r="B14" s="1060"/>
      <c r="D14" s="1061">
        <v>16823.240000000002</v>
      </c>
      <c r="E14" s="1049" t="s">
        <v>983</v>
      </c>
      <c r="F14" s="1062"/>
      <c r="G14" s="1063"/>
      <c r="H14" s="1062"/>
      <c r="I14" s="1062"/>
      <c r="J14" s="1062"/>
      <c r="K14" s="1049"/>
      <c r="L14" s="1049"/>
      <c r="M14" s="1049"/>
      <c r="N14" s="1049"/>
    </row>
    <row r="15" spans="1:15">
      <c r="A15" s="1059">
        <f>+A14+1</f>
        <v>3</v>
      </c>
      <c r="B15" s="1060" t="s">
        <v>984</v>
      </c>
      <c r="D15" s="1049">
        <f>+D13-D14</f>
        <v>14155.759999999998</v>
      </c>
      <c r="F15" s="1062">
        <v>4955.3</v>
      </c>
      <c r="G15" s="1063"/>
      <c r="H15" s="1064">
        <f>+F15/D15</f>
        <v>0.35005538381549284</v>
      </c>
      <c r="J15" s="1062">
        <f>-F15</f>
        <v>-4955.3</v>
      </c>
      <c r="K15" s="1062"/>
      <c r="L15" s="1062">
        <f>+F15+J15</f>
        <v>0</v>
      </c>
      <c r="M15" s="1062" t="s">
        <v>878</v>
      </c>
      <c r="N15" s="1049"/>
      <c r="O15" s="1049">
        <f>+D15-L15</f>
        <v>14155.759999999998</v>
      </c>
    </row>
    <row r="16" spans="1:15">
      <c r="A16" s="1046"/>
      <c r="B16" s="1060"/>
      <c r="D16" s="1049"/>
      <c r="E16" s="1049"/>
      <c r="F16" s="1065"/>
      <c r="G16" s="1063"/>
      <c r="J16" s="1062"/>
      <c r="K16" s="1062"/>
      <c r="L16" s="1062"/>
      <c r="M16" s="1062"/>
      <c r="N16" s="1049"/>
      <c r="O16" s="1049"/>
    </row>
    <row r="17" spans="1:15">
      <c r="A17" s="1059">
        <f>+A15+1</f>
        <v>4</v>
      </c>
      <c r="B17" s="1060" t="s">
        <v>985</v>
      </c>
      <c r="D17" s="1049">
        <v>-24138</v>
      </c>
      <c r="E17" s="1049" t="s">
        <v>986</v>
      </c>
      <c r="F17" s="1062">
        <v>-9654.89</v>
      </c>
      <c r="G17" s="1065"/>
      <c r="H17" s="1064">
        <f>+F17/D17</f>
        <v>0.39998715717955091</v>
      </c>
      <c r="J17" s="1062">
        <v>0</v>
      </c>
      <c r="K17" s="1062"/>
      <c r="L17" s="1062">
        <f>+F17+J17</f>
        <v>-9654.89</v>
      </c>
      <c r="M17" s="1062" t="s">
        <v>874</v>
      </c>
      <c r="N17" s="1049"/>
      <c r="O17" s="1049">
        <f>+D17-L17</f>
        <v>-14483.11</v>
      </c>
    </row>
    <row r="18" spans="1:15">
      <c r="A18" s="1059"/>
      <c r="B18" s="1060"/>
      <c r="D18" s="1049"/>
      <c r="E18" s="1049"/>
      <c r="F18" s="1062"/>
      <c r="G18" s="1062"/>
      <c r="J18" s="1062"/>
      <c r="K18" s="1062"/>
      <c r="L18" s="1062"/>
      <c r="M18" s="1062"/>
      <c r="N18" s="1049"/>
      <c r="O18" s="1049"/>
    </row>
    <row r="19" spans="1:15">
      <c r="A19" s="1059">
        <f>+A17+1</f>
        <v>5</v>
      </c>
      <c r="B19" s="1060" t="s">
        <v>987</v>
      </c>
      <c r="D19" s="1049">
        <v>-23866</v>
      </c>
      <c r="E19" s="1049" t="s">
        <v>988</v>
      </c>
      <c r="N19" s="1049"/>
      <c r="O19" s="1049"/>
    </row>
    <row r="20" spans="1:15">
      <c r="A20" s="1059">
        <f>+A19+1</f>
        <v>6</v>
      </c>
      <c r="B20" s="1060"/>
      <c r="D20" s="1061">
        <v>-17978</v>
      </c>
      <c r="E20" s="1049" t="s">
        <v>989</v>
      </c>
      <c r="F20" s="1062"/>
      <c r="G20" s="1066"/>
      <c r="H20" s="1064"/>
      <c r="J20" s="1062"/>
      <c r="K20" s="1062"/>
      <c r="L20" s="1062"/>
      <c r="M20" s="1062"/>
      <c r="N20" s="1049"/>
      <c r="O20" s="1049"/>
    </row>
    <row r="21" spans="1:15">
      <c r="A21" s="1059">
        <f>+A20+1</f>
        <v>7</v>
      </c>
      <c r="B21" s="1060" t="s">
        <v>990</v>
      </c>
      <c r="D21" s="1049">
        <f>+D19-D20</f>
        <v>-5888</v>
      </c>
      <c r="E21" s="1049"/>
      <c r="F21" s="1062">
        <v>-2355.25</v>
      </c>
      <c r="G21" s="1066"/>
      <c r="H21" s="1064">
        <f>+F21/D21</f>
        <v>0.40000849184782611</v>
      </c>
      <c r="J21" s="1062">
        <f>-J15-J17</f>
        <v>4955.3</v>
      </c>
      <c r="K21" s="1062"/>
      <c r="L21" s="1062">
        <f>+F21+J21</f>
        <v>2600.0500000000002</v>
      </c>
      <c r="M21" s="1062" t="s">
        <v>878</v>
      </c>
      <c r="N21" s="1049"/>
      <c r="O21" s="1049">
        <f>+D21-L21</f>
        <v>-8488.0499999999993</v>
      </c>
    </row>
    <row r="22" spans="1:15">
      <c r="A22" s="1046"/>
      <c r="D22" s="1049"/>
      <c r="E22" s="1049"/>
      <c r="F22" s="1062"/>
      <c r="G22" s="1067"/>
      <c r="J22" s="1062"/>
      <c r="K22" s="1062"/>
      <c r="L22" s="1062"/>
      <c r="M22" s="1062"/>
      <c r="N22" s="1049"/>
    </row>
    <row r="23" spans="1:15">
      <c r="A23" s="1059">
        <f>+A21+1</f>
        <v>8</v>
      </c>
      <c r="B23" s="1047" t="s">
        <v>410</v>
      </c>
      <c r="D23" s="1068">
        <f>+D15+D17+D21</f>
        <v>-15870.240000000002</v>
      </c>
      <c r="E23" s="1049"/>
      <c r="F23" s="1068">
        <f>SUM(F14:F21)</f>
        <v>-7054.8399999999992</v>
      </c>
      <c r="J23" s="1068">
        <f>+J15+J17+J21</f>
        <v>0</v>
      </c>
      <c r="K23" s="1049"/>
      <c r="L23" s="1068">
        <f>+L15+L17+L21</f>
        <v>-7054.8399999999992</v>
      </c>
      <c r="M23" s="1069"/>
      <c r="N23" s="1049"/>
      <c r="O23" s="1068">
        <f>+O15+O17+O21</f>
        <v>-8815.4000000000015</v>
      </c>
    </row>
    <row r="24" spans="1:15">
      <c r="A24" s="1046"/>
      <c r="D24" s="1049"/>
      <c r="E24" s="1070"/>
      <c r="F24" s="1064"/>
      <c r="G24" s="1049"/>
      <c r="H24" s="1049"/>
      <c r="I24" s="1049"/>
      <c r="J24" s="1049"/>
      <c r="K24" s="1049"/>
      <c r="L24" s="1049"/>
      <c r="M24" s="1049"/>
      <c r="N24" s="1049"/>
    </row>
    <row r="25" spans="1:15">
      <c r="A25" s="1046"/>
      <c r="D25" s="1049"/>
      <c r="E25" s="1070"/>
      <c r="F25" s="1064"/>
      <c r="G25" s="1049"/>
      <c r="H25" s="1049"/>
      <c r="I25" s="1049"/>
      <c r="J25" s="1049"/>
      <c r="K25" s="1049"/>
      <c r="L25" s="1049"/>
      <c r="M25" s="1049"/>
      <c r="N25" s="1049"/>
    </row>
    <row r="26" spans="1:15">
      <c r="A26" s="1170" t="s">
        <v>991</v>
      </c>
      <c r="B26" s="1170"/>
      <c r="C26" s="1170"/>
      <c r="D26" s="1170"/>
      <c r="E26" s="1170"/>
      <c r="F26" s="1170"/>
      <c r="G26" s="1170"/>
      <c r="H26" s="1170"/>
      <c r="I26" s="1170"/>
      <c r="J26" s="1071"/>
      <c r="K26" s="1071"/>
      <c r="L26" s="1049"/>
      <c r="M26" s="1049"/>
      <c r="N26" s="1049"/>
    </row>
    <row r="27" spans="1:15">
      <c r="A27" s="1170"/>
      <c r="B27" s="1170"/>
      <c r="C27" s="1170"/>
      <c r="D27" s="1170"/>
      <c r="E27" s="1170"/>
      <c r="F27" s="1170"/>
      <c r="G27" s="1170"/>
      <c r="H27" s="1170"/>
      <c r="I27" s="1170"/>
      <c r="J27" s="1071"/>
      <c r="K27" s="1071"/>
      <c r="L27" s="1049"/>
      <c r="M27" s="1049"/>
      <c r="N27" s="1049"/>
    </row>
    <row r="28" spans="1:15">
      <c r="A28" s="1170"/>
      <c r="B28" s="1170"/>
      <c r="C28" s="1170"/>
      <c r="D28" s="1170"/>
      <c r="E28" s="1170"/>
      <c r="F28" s="1170"/>
      <c r="G28" s="1170"/>
      <c r="H28" s="1170"/>
      <c r="I28" s="1170"/>
      <c r="J28" s="1071"/>
      <c r="K28" s="1071"/>
      <c r="L28" s="1049"/>
      <c r="M28" s="1049"/>
      <c r="N28" s="1049"/>
    </row>
    <row r="29" spans="1:15">
      <c r="A29" s="1072"/>
      <c r="B29" s="1072"/>
      <c r="C29" s="1072"/>
      <c r="D29" s="1072"/>
      <c r="E29" s="1072"/>
      <c r="F29" s="1072"/>
      <c r="G29" s="1072"/>
      <c r="H29" s="1072"/>
      <c r="I29" s="1072"/>
      <c r="J29" s="1071"/>
      <c r="K29" s="1071"/>
      <c r="L29" s="1049"/>
      <c r="M29" s="1049"/>
      <c r="N29" s="1049"/>
    </row>
    <row r="30" spans="1:15" ht="12.75" customHeight="1">
      <c r="A30" s="1073" t="s">
        <v>992</v>
      </c>
      <c r="B30" s="1171" t="s">
        <v>993</v>
      </c>
      <c r="C30" s="1171"/>
      <c r="D30" s="1171"/>
      <c r="E30" s="1171"/>
      <c r="F30" s="1171"/>
      <c r="G30" s="1171"/>
      <c r="H30" s="1171"/>
      <c r="I30" s="1171"/>
      <c r="J30" s="1171"/>
      <c r="K30" s="1171"/>
      <c r="L30" s="1171"/>
      <c r="M30" s="1171"/>
      <c r="N30" s="1171"/>
      <c r="O30" s="1171"/>
    </row>
    <row r="31" spans="1:15">
      <c r="A31" s="1073"/>
      <c r="B31" s="1171"/>
      <c r="C31" s="1171"/>
      <c r="D31" s="1171"/>
      <c r="E31" s="1171"/>
      <c r="F31" s="1171"/>
      <c r="G31" s="1171"/>
      <c r="H31" s="1171"/>
      <c r="I31" s="1171"/>
      <c r="J31" s="1171"/>
      <c r="K31" s="1171"/>
      <c r="L31" s="1171"/>
      <c r="M31" s="1171"/>
      <c r="N31" s="1171"/>
      <c r="O31" s="1171"/>
    </row>
    <row r="32" spans="1:15">
      <c r="A32" s="1073"/>
      <c r="B32" s="1171"/>
      <c r="C32" s="1171"/>
      <c r="D32" s="1171"/>
      <c r="E32" s="1171"/>
      <c r="F32" s="1171"/>
      <c r="G32" s="1171"/>
      <c r="H32" s="1171"/>
      <c r="I32" s="1171"/>
      <c r="J32" s="1171"/>
      <c r="K32" s="1171"/>
      <c r="L32" s="1171"/>
      <c r="M32" s="1171"/>
      <c r="N32" s="1171"/>
      <c r="O32" s="1171"/>
    </row>
    <row r="33" spans="1:15">
      <c r="A33" s="1074"/>
      <c r="B33" s="1075"/>
      <c r="C33" s="1075"/>
      <c r="D33" s="1075"/>
      <c r="E33" s="1075"/>
      <c r="F33" s="1075"/>
      <c r="G33" s="1075"/>
      <c r="H33" s="1075"/>
      <c r="I33" s="1075"/>
      <c r="J33" s="1075"/>
      <c r="K33" s="1075"/>
      <c r="N33" s="1049"/>
    </row>
    <row r="34" spans="1:15" ht="12.75" customHeight="1">
      <c r="A34" s="1056" t="s">
        <v>994</v>
      </c>
      <c r="B34" s="1172" t="s">
        <v>995</v>
      </c>
      <c r="C34" s="1172"/>
      <c r="D34" s="1172"/>
      <c r="E34" s="1172"/>
      <c r="F34" s="1172"/>
      <c r="G34" s="1172"/>
      <c r="H34" s="1172"/>
      <c r="I34" s="1172"/>
      <c r="J34" s="1172"/>
      <c r="K34" s="1172"/>
      <c r="L34" s="1172"/>
      <c r="M34" s="1172"/>
      <c r="N34" s="1049"/>
    </row>
    <row r="35" spans="1:15">
      <c r="A35" s="1056"/>
      <c r="B35" s="1172"/>
      <c r="C35" s="1172"/>
      <c r="D35" s="1172"/>
      <c r="E35" s="1172"/>
      <c r="F35" s="1172"/>
      <c r="G35" s="1172"/>
      <c r="H35" s="1172"/>
      <c r="I35" s="1172"/>
      <c r="J35" s="1172"/>
      <c r="K35" s="1172"/>
      <c r="L35" s="1172"/>
      <c r="M35" s="1172"/>
      <c r="N35" s="1049"/>
    </row>
    <row r="36" spans="1:15">
      <c r="A36" s="1056"/>
      <c r="N36" s="1049"/>
    </row>
    <row r="37" spans="1:15" ht="12.75" customHeight="1">
      <c r="A37" s="1056" t="s">
        <v>996</v>
      </c>
      <c r="B37" s="1172" t="s">
        <v>997</v>
      </c>
      <c r="C37" s="1172"/>
      <c r="D37" s="1172"/>
      <c r="E37" s="1172"/>
      <c r="F37" s="1172"/>
      <c r="G37" s="1172"/>
      <c r="H37" s="1172"/>
      <c r="I37" s="1172"/>
      <c r="J37" s="1172"/>
      <c r="K37" s="1172"/>
      <c r="N37" s="1049"/>
    </row>
    <row r="38" spans="1:15">
      <c r="A38" s="1056"/>
      <c r="B38" s="1172"/>
      <c r="C38" s="1172"/>
      <c r="D38" s="1172"/>
      <c r="E38" s="1172"/>
      <c r="F38" s="1172"/>
      <c r="G38" s="1172"/>
      <c r="H38" s="1172"/>
      <c r="I38" s="1172"/>
      <c r="J38" s="1172"/>
      <c r="K38" s="1172"/>
      <c r="N38" s="1049"/>
    </row>
    <row r="40" spans="1:15" ht="12.75" customHeight="1">
      <c r="A40" s="1056" t="s">
        <v>998</v>
      </c>
      <c r="B40" s="1168" t="s">
        <v>999</v>
      </c>
      <c r="C40" s="1168"/>
      <c r="D40" s="1168"/>
      <c r="E40" s="1168"/>
      <c r="F40" s="1168"/>
      <c r="G40" s="1168"/>
      <c r="H40" s="1168"/>
      <c r="I40" s="1168"/>
      <c r="J40" s="1168"/>
      <c r="K40" s="1168"/>
      <c r="L40" s="1168"/>
      <c r="M40" s="1168"/>
      <c r="N40" s="1168"/>
      <c r="O40" s="1168"/>
    </row>
    <row r="41" spans="1:15">
      <c r="A41" s="1056"/>
      <c r="B41" s="1056"/>
      <c r="C41" s="1056"/>
      <c r="D41" s="1056"/>
      <c r="E41" s="1056"/>
      <c r="F41" s="1056"/>
      <c r="G41" s="1056"/>
      <c r="H41" s="1056"/>
    </row>
    <row r="42" spans="1:15">
      <c r="O42" s="1049"/>
    </row>
  </sheetData>
  <mergeCells count="6">
    <mergeCell ref="B40:O40"/>
    <mergeCell ref="A7:L7"/>
    <mergeCell ref="A26:I28"/>
    <mergeCell ref="B30:O32"/>
    <mergeCell ref="B34:M35"/>
    <mergeCell ref="B37:K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107"/>
  <sheetViews>
    <sheetView view="pageBreakPreview" zoomScale="70" zoomScaleNormal="75" zoomScaleSheetLayoutView="70" workbookViewId="0">
      <selection activeCell="A19" sqref="A19:K19"/>
    </sheetView>
  </sheetViews>
  <sheetFormatPr defaultColWidth="11.42578125" defaultRowHeight="12.75"/>
  <cols>
    <col min="1" max="1" width="8.140625" style="298" customWidth="1"/>
    <col min="2" max="2" width="12.140625" style="297" customWidth="1"/>
    <col min="3" max="3" width="41.7109375" style="297" customWidth="1"/>
    <col min="4" max="4" width="30" style="297" customWidth="1"/>
    <col min="5" max="5" width="22.140625" style="297" customWidth="1"/>
    <col min="6" max="6" width="1" style="297" customWidth="1"/>
    <col min="7" max="7" width="20.85546875" style="297" customWidth="1"/>
    <col min="8" max="8" width="1" style="297" customWidth="1"/>
    <col min="9" max="9" width="19.140625" style="297" customWidth="1"/>
    <col min="10" max="10" width="16.7109375" style="297" customWidth="1"/>
    <col min="11" max="11" width="15.28515625" style="297" customWidth="1"/>
    <col min="12" max="12" width="34" style="297" customWidth="1"/>
    <col min="13" max="13" width="21.28515625" style="297" customWidth="1"/>
    <col min="14" max="14" width="13.42578125" style="297" customWidth="1"/>
    <col min="15" max="15" width="13.7109375" style="297" customWidth="1"/>
    <col min="16" max="16384" width="11.42578125" style="297"/>
  </cols>
  <sheetData>
    <row r="1" spans="1:15" ht="15.75">
      <c r="A1" s="730" t="s">
        <v>406</v>
      </c>
    </row>
    <row r="2" spans="1:15" ht="15.75">
      <c r="A2" s="730" t="s">
        <v>406</v>
      </c>
    </row>
    <row r="3" spans="1:15" ht="15">
      <c r="A3" s="1148" t="str">
        <f>TCOS!$F$5</f>
        <v>AEPTCo subsidiaries in PJM</v>
      </c>
      <c r="B3" s="1148" t="str">
        <f>TCOS!$F$5</f>
        <v>AEPTCo subsidiaries in PJM</v>
      </c>
      <c r="C3" s="1148" t="str">
        <f>TCOS!$F$5</f>
        <v>AEPTCo subsidiaries in PJM</v>
      </c>
      <c r="D3" s="1148" t="str">
        <f>TCOS!$F$5</f>
        <v>AEPTCo subsidiaries in PJM</v>
      </c>
      <c r="E3" s="1148" t="str">
        <f>TCOS!$F$5</f>
        <v>AEPTCo subsidiaries in PJM</v>
      </c>
      <c r="F3" s="1148" t="str">
        <f>TCOS!$F$5</f>
        <v>AEPTCo subsidiaries in PJM</v>
      </c>
      <c r="G3" s="1148" t="str">
        <f>TCOS!$F$5</f>
        <v>AEPTCo subsidiaries in PJM</v>
      </c>
      <c r="H3" s="1148" t="str">
        <f>TCOS!$F$5</f>
        <v>AEPTCo subsidiaries in PJM</v>
      </c>
      <c r="I3" s="1148" t="str">
        <f>TCOS!$F$5</f>
        <v>AEPTCo subsidiaries in PJM</v>
      </c>
      <c r="J3" s="1148" t="str">
        <f>TCOS!$F$5</f>
        <v>AEPTCo subsidiaries in PJM</v>
      </c>
      <c r="K3" s="1148" t="str">
        <f>TCOS!$F$5</f>
        <v>AEPTCo subsidiaries in PJM</v>
      </c>
      <c r="L3" s="1148" t="str">
        <f>TCOS!$F$5</f>
        <v>AEPTCo subsidiaries in PJM</v>
      </c>
      <c r="M3" s="17"/>
      <c r="N3" s="17"/>
      <c r="O3" s="17"/>
    </row>
    <row r="4" spans="1:15" ht="15">
      <c r="A4" s="1149" t="str">
        <f>"Cost of Service Formula Rate Using Actual/Projected FF1 Balances"</f>
        <v>Cost of Service Formula Rate Using Actual/Projected FF1 Balances</v>
      </c>
      <c r="B4" s="1149"/>
      <c r="C4" s="1149"/>
      <c r="D4" s="1149"/>
      <c r="E4" s="1149"/>
      <c r="F4" s="1149"/>
      <c r="G4" s="1149"/>
      <c r="H4" s="1149"/>
      <c r="I4" s="1149"/>
      <c r="J4" s="1149"/>
      <c r="K4" s="1149"/>
      <c r="L4" s="1149"/>
      <c r="M4" s="45"/>
      <c r="N4" s="45"/>
      <c r="O4" s="45"/>
    </row>
    <row r="5" spans="1:15" ht="15">
      <c r="A5" s="1149" t="s">
        <v>283</v>
      </c>
      <c r="B5" s="1149"/>
      <c r="C5" s="1149"/>
      <c r="D5" s="1149"/>
      <c r="E5" s="1149"/>
      <c r="F5" s="1149"/>
      <c r="G5" s="1149"/>
      <c r="H5" s="1149"/>
      <c r="I5" s="1149"/>
      <c r="J5" s="1149"/>
      <c r="K5" s="1149"/>
      <c r="L5" s="1149"/>
      <c r="M5" s="44"/>
      <c r="N5" s="44"/>
      <c r="O5" s="44"/>
    </row>
    <row r="6" spans="1:15" ht="15">
      <c r="A6" s="1159" t="str">
        <f>TCOS!F9</f>
        <v>AEP Ohio Transmission Company</v>
      </c>
      <c r="B6" s="1159"/>
      <c r="C6" s="1159"/>
      <c r="D6" s="1159"/>
      <c r="E6" s="1159"/>
      <c r="F6" s="1159"/>
      <c r="G6" s="1159"/>
      <c r="H6" s="1159"/>
      <c r="I6" s="1159"/>
      <c r="J6" s="1159"/>
      <c r="K6" s="1159"/>
      <c r="L6" s="1159"/>
      <c r="M6" s="2"/>
      <c r="N6" s="2"/>
      <c r="O6" s="2"/>
    </row>
    <row r="7" spans="1:15" ht="15">
      <c r="A7" s="2"/>
      <c r="B7" s="2"/>
      <c r="C7" s="2"/>
      <c r="D7" s="2"/>
      <c r="E7" s="2"/>
      <c r="F7" s="2"/>
      <c r="G7" s="2"/>
      <c r="H7"/>
    </row>
    <row r="8" spans="1:15" ht="12.75" customHeight="1">
      <c r="A8" s="308"/>
      <c r="B8" s="308" t="s">
        <v>452</v>
      </c>
      <c r="C8" s="308" t="s">
        <v>453</v>
      </c>
      <c r="D8" s="308" t="s">
        <v>323</v>
      </c>
      <c r="E8" s="308" t="s">
        <v>455</v>
      </c>
      <c r="F8" s="308"/>
      <c r="G8" s="308" t="s">
        <v>375</v>
      </c>
      <c r="H8" s="308"/>
      <c r="I8" s="308" t="s">
        <v>376</v>
      </c>
      <c r="J8" s="308" t="s">
        <v>377</v>
      </c>
      <c r="K8" s="308" t="s">
        <v>382</v>
      </c>
      <c r="L8" s="308" t="s">
        <v>288</v>
      </c>
      <c r="M8" s="308"/>
      <c r="N8" s="308"/>
      <c r="O8" s="308"/>
    </row>
    <row r="9" spans="1:15">
      <c r="A9" s="306"/>
    </row>
    <row r="10" spans="1:15" ht="18">
      <c r="A10" s="301"/>
      <c r="B10" s="1174" t="s">
        <v>489</v>
      </c>
      <c r="C10" s="1174"/>
      <c r="D10" s="1174"/>
      <c r="E10" s="1174"/>
      <c r="F10" s="1174"/>
      <c r="G10" s="1174"/>
      <c r="H10" s="1174"/>
      <c r="I10" s="1174"/>
      <c r="J10" s="1174"/>
      <c r="K10" s="1174"/>
    </row>
    <row r="11" spans="1:15">
      <c r="A11" s="301"/>
      <c r="I11"/>
      <c r="J11"/>
    </row>
    <row r="12" spans="1:15" ht="12.75" customHeight="1">
      <c r="A12" s="299" t="s">
        <v>459</v>
      </c>
      <c r="B12" s="301"/>
      <c r="C12" s="309"/>
      <c r="D12" s="310"/>
      <c r="E12" s="1176" t="str">
        <f>"Balance @ December 31, "&amp;TCOS!L4&amp;""</f>
        <v>Balance @ December 31, 2026</v>
      </c>
      <c r="F12" s="310"/>
      <c r="G12" s="1176" t="str">
        <f>"Balance @ December 31, "&amp;TCOS!L4-1&amp;""</f>
        <v>Balance @ December 31, 2025</v>
      </c>
      <c r="H12" s="311"/>
      <c r="I12" s="1178" t="str">
        <f>"Average Balance for "&amp;TCOS!L4&amp;""</f>
        <v>Average Balance for 2026</v>
      </c>
      <c r="J12" s="3"/>
      <c r="L12" s="308"/>
    </row>
    <row r="13" spans="1:15">
      <c r="A13" s="299" t="s">
        <v>397</v>
      </c>
      <c r="B13" s="298"/>
      <c r="C13" s="301"/>
      <c r="D13" s="312" t="s">
        <v>488</v>
      </c>
      <c r="E13" s="1177"/>
      <c r="F13" s="313"/>
      <c r="G13" s="1177"/>
      <c r="H13" s="314"/>
      <c r="I13" s="1177"/>
      <c r="J13" s="3"/>
      <c r="K13" s="315"/>
      <c r="L13" s="316"/>
      <c r="M13" s="300"/>
      <c r="N13" s="300"/>
    </row>
    <row r="14" spans="1:15">
      <c r="B14" s="298"/>
      <c r="C14" s="301"/>
      <c r="D14" s="317"/>
      <c r="E14" s="305"/>
      <c r="F14" s="305"/>
      <c r="G14" s="318"/>
      <c r="H14" s="304"/>
      <c r="J14"/>
      <c r="K14" s="315"/>
      <c r="L14" s="316"/>
      <c r="M14" s="300"/>
      <c r="N14" s="300"/>
    </row>
    <row r="15" spans="1:15">
      <c r="A15" s="298">
        <v>1</v>
      </c>
      <c r="B15" s="298"/>
      <c r="D15" s="36"/>
      <c r="E15" s="7"/>
      <c r="F15" s="305"/>
      <c r="G15" s="7"/>
      <c r="H15" s="7"/>
      <c r="I15" s="7"/>
      <c r="K15" s="7"/>
      <c r="L15" s="7"/>
      <c r="M15" s="300"/>
      <c r="N15" s="300"/>
    </row>
    <row r="16" spans="1:15">
      <c r="B16" s="298"/>
      <c r="C16" s="36"/>
      <c r="D16" s="36"/>
      <c r="E16" s="7"/>
      <c r="F16" s="305"/>
      <c r="G16" s="7"/>
      <c r="H16" s="7"/>
      <c r="I16" s="7"/>
      <c r="K16" s="7"/>
      <c r="L16" s="7"/>
      <c r="M16" s="300"/>
      <c r="N16" s="300"/>
    </row>
    <row r="17" spans="1:14">
      <c r="A17" s="298">
        <f>+A15+1</f>
        <v>2</v>
      </c>
      <c r="B17" s="298"/>
      <c r="C17" s="36" t="s">
        <v>316</v>
      </c>
      <c r="D17" s="302" t="s">
        <v>210</v>
      </c>
      <c r="E17" s="978">
        <v>3</v>
      </c>
      <c r="F17" s="305"/>
      <c r="G17" s="978">
        <v>3</v>
      </c>
      <c r="H17" s="7"/>
      <c r="I17" s="303">
        <f>IF(G17="",0,(E17+G17)/2)</f>
        <v>3</v>
      </c>
      <c r="J17"/>
      <c r="K17" s="303"/>
      <c r="L17" s="7"/>
      <c r="M17" s="300"/>
      <c r="N17" s="300"/>
    </row>
    <row r="18" spans="1:14">
      <c r="B18" s="298"/>
      <c r="C18" s="36"/>
      <c r="D18"/>
      <c r="E18"/>
      <c r="F18"/>
      <c r="G18"/>
      <c r="H18"/>
      <c r="I18" s="3"/>
      <c r="J18"/>
      <c r="K18"/>
      <c r="L18" s="7"/>
      <c r="M18" s="300"/>
      <c r="N18" s="300"/>
    </row>
    <row r="19" spans="1:14">
      <c r="B19" s="298"/>
      <c r="C19" s="36"/>
      <c r="D19" s="302"/>
      <c r="E19" s="978"/>
      <c r="F19" s="305"/>
      <c r="G19" s="978"/>
      <c r="H19" s="7"/>
      <c r="I19" s="303"/>
      <c r="J19"/>
      <c r="K19"/>
      <c r="L19" s="7"/>
      <c r="M19" s="300"/>
      <c r="N19" s="300"/>
    </row>
    <row r="20" spans="1:14">
      <c r="A20" s="1081"/>
      <c r="B20" s="1081"/>
      <c r="C20" s="1082"/>
      <c r="D20"/>
      <c r="E20"/>
      <c r="F20"/>
      <c r="G20"/>
      <c r="H20"/>
      <c r="I20" s="98"/>
      <c r="J20"/>
      <c r="K20"/>
      <c r="L20" s="7"/>
      <c r="M20" s="300"/>
      <c r="N20" s="300"/>
    </row>
    <row r="21" spans="1:14">
      <c r="A21" s="298">
        <f>+A17+1</f>
        <v>3</v>
      </c>
      <c r="B21" s="298"/>
      <c r="C21" s="36" t="s">
        <v>317</v>
      </c>
      <c r="D21" s="302" t="s">
        <v>211</v>
      </c>
      <c r="E21" s="353"/>
      <c r="F21" s="305"/>
      <c r="G21" s="353"/>
      <c r="H21" s="304"/>
      <c r="I21" s="303">
        <f>IF(G21="",0,(E21+G21)/2)</f>
        <v>0</v>
      </c>
      <c r="J21"/>
      <c r="K21" s="315"/>
      <c r="L21" s="316"/>
      <c r="M21" s="300"/>
      <c r="N21" s="300"/>
    </row>
    <row r="22" spans="1:14">
      <c r="B22" s="298"/>
      <c r="C22" s="36"/>
      <c r="D22" s="302"/>
      <c r="E22"/>
      <c r="F22"/>
      <c r="G22"/>
      <c r="H22"/>
      <c r="I22"/>
      <c r="J22"/>
      <c r="K22" s="315"/>
      <c r="L22" s="316"/>
      <c r="M22" s="300"/>
      <c r="N22" s="300"/>
    </row>
    <row r="23" spans="1:14">
      <c r="A23" s="298">
        <f>+A21+1</f>
        <v>4</v>
      </c>
      <c r="B23" s="298"/>
      <c r="C23" s="36" t="s">
        <v>757</v>
      </c>
      <c r="D23" s="302" t="s">
        <v>212</v>
      </c>
      <c r="E23" s="353"/>
      <c r="F23" s="305"/>
      <c r="G23" s="353"/>
      <c r="H23" s="304"/>
      <c r="I23" s="303">
        <f>IF(G23="",0,(E23+G23)/2)</f>
        <v>0</v>
      </c>
      <c r="J23"/>
      <c r="K23" s="315"/>
      <c r="L23" s="316"/>
      <c r="M23" s="300"/>
      <c r="N23" s="300"/>
    </row>
    <row r="24" spans="1:14">
      <c r="B24" s="298"/>
      <c r="C24" s="301"/>
      <c r="D24" s="317"/>
      <c r="E24" s="305"/>
      <c r="F24" s="305"/>
      <c r="H24" s="304"/>
      <c r="J24"/>
      <c r="K24" s="315"/>
      <c r="L24" s="316"/>
      <c r="M24" s="300"/>
      <c r="N24" s="300"/>
    </row>
    <row r="25" spans="1:14">
      <c r="A25" s="319"/>
      <c r="B25" s="319"/>
      <c r="C25" s="320"/>
      <c r="D25" s="321"/>
      <c r="E25" s="322"/>
      <c r="F25" s="322"/>
      <c r="G25" s="323"/>
      <c r="H25" s="324"/>
      <c r="I25" s="323"/>
      <c r="J25" s="325"/>
      <c r="K25" s="326"/>
      <c r="L25" s="327"/>
      <c r="M25" s="300"/>
      <c r="N25" s="300"/>
    </row>
    <row r="26" spans="1:14" ht="18">
      <c r="B26" s="1174" t="s">
        <v>758</v>
      </c>
      <c r="C26" s="1174"/>
      <c r="D26" s="1174"/>
      <c r="E26" s="1174"/>
      <c r="F26" s="1174"/>
      <c r="G26" s="1174"/>
      <c r="H26" s="1174"/>
      <c r="I26" s="1174"/>
      <c r="J26" s="1174"/>
      <c r="K26" s="1174"/>
      <c r="L26" s="316"/>
      <c r="M26" s="300"/>
      <c r="N26" s="300"/>
    </row>
    <row r="27" spans="1:14" ht="12.75" customHeight="1">
      <c r="B27" s="328"/>
      <c r="C27" s="301"/>
      <c r="D27" s="7"/>
      <c r="E27" s="329"/>
      <c r="G27" s="329" t="s">
        <v>378</v>
      </c>
      <c r="I27" s="4" t="s">
        <v>407</v>
      </c>
      <c r="J27" s="4" t="s">
        <v>407</v>
      </c>
      <c r="K27" s="4" t="s">
        <v>469</v>
      </c>
      <c r="L27" s="316"/>
      <c r="M27" s="300"/>
      <c r="N27" s="300"/>
    </row>
    <row r="28" spans="1:14" ht="12.75" customHeight="1">
      <c r="B28" s="328"/>
      <c r="C28" s="301"/>
      <c r="D28" s="330" t="s">
        <v>289</v>
      </c>
      <c r="E28" s="4" t="s">
        <v>319</v>
      </c>
      <c r="G28" s="4" t="s">
        <v>407</v>
      </c>
      <c r="I28" s="4" t="s">
        <v>309</v>
      </c>
      <c r="J28" s="4" t="s">
        <v>451</v>
      </c>
      <c r="K28" s="4" t="s">
        <v>470</v>
      </c>
      <c r="L28" s="316"/>
      <c r="M28" s="300"/>
      <c r="N28" s="300"/>
    </row>
    <row r="29" spans="1:14" ht="12.75" customHeight="1">
      <c r="A29" s="298">
        <f>+A23+1</f>
        <v>5</v>
      </c>
      <c r="B29" s="328"/>
      <c r="C29" s="301"/>
      <c r="D29" s="299" t="s">
        <v>379</v>
      </c>
      <c r="E29" s="299" t="s">
        <v>290</v>
      </c>
      <c r="G29" s="299" t="s">
        <v>310</v>
      </c>
      <c r="I29" s="299" t="s">
        <v>310</v>
      </c>
      <c r="J29" s="299" t="s">
        <v>310</v>
      </c>
      <c r="K29" s="299" t="s">
        <v>311</v>
      </c>
      <c r="L29" s="316"/>
      <c r="M29" s="300"/>
      <c r="N29" s="300"/>
    </row>
    <row r="30" spans="1:14">
      <c r="B30" s="298"/>
      <c r="C30" s="301"/>
      <c r="D30" s="317"/>
      <c r="E30" s="305"/>
      <c r="F30" s="305"/>
      <c r="H30" s="304"/>
      <c r="J30"/>
      <c r="K30" s="331"/>
      <c r="L30" s="316"/>
      <c r="M30" s="300"/>
      <c r="N30" s="300"/>
    </row>
    <row r="31" spans="1:14">
      <c r="A31" s="298">
        <f>+A29+1</f>
        <v>6</v>
      </c>
      <c r="B31" s="298"/>
      <c r="C31" s="297" t="str">
        <f>"Totals as of December 31, "&amp;TCOS!L4&amp;""</f>
        <v>Totals as of December 31, 2026</v>
      </c>
      <c r="D31" s="332">
        <f>ROUND(D57,0)</f>
        <v>355664</v>
      </c>
      <c r="E31" s="333">
        <f>ROUND(E57,0)</f>
        <v>0</v>
      </c>
      <c r="F31" s="334"/>
      <c r="G31" s="332">
        <f>ROUND(G57,0)</f>
        <v>0</v>
      </c>
      <c r="H31" s="304"/>
      <c r="I31" s="332">
        <f>ROUND(I57,0)</f>
        <v>355664</v>
      </c>
      <c r="J31" s="335">
        <f>+J57</f>
        <v>0</v>
      </c>
      <c r="K31" s="332">
        <f>ROUND(K57,0)</f>
        <v>355664</v>
      </c>
      <c r="L31" s="316"/>
      <c r="M31" s="300"/>
      <c r="N31" s="300"/>
    </row>
    <row r="32" spans="1:14">
      <c r="A32" s="298">
        <f>+A31+1</f>
        <v>7</v>
      </c>
      <c r="B32" s="298"/>
      <c r="C32" s="297" t="str">
        <f>"Totals as of December 31, "&amp;(TCOS!L4-1)&amp;""</f>
        <v>Totals as of December 31, 2025</v>
      </c>
      <c r="D32" s="336">
        <f>ROUND(D81,0)</f>
        <v>355664</v>
      </c>
      <c r="E32" s="337">
        <f>ROUND(E81,0)</f>
        <v>0</v>
      </c>
      <c r="F32" s="305"/>
      <c r="G32" s="336">
        <f>ROUND(G81,0)</f>
        <v>0</v>
      </c>
      <c r="H32" s="304"/>
      <c r="I32" s="336">
        <f>ROUND(I81,0)</f>
        <v>355664</v>
      </c>
      <c r="J32" s="336">
        <f>+J81</f>
        <v>0</v>
      </c>
      <c r="K32" s="336">
        <f>ROUND(K81,0)</f>
        <v>355664</v>
      </c>
      <c r="L32" s="316"/>
      <c r="M32" s="300"/>
      <c r="N32" s="300"/>
    </row>
    <row r="33" spans="1:14" ht="13.5" thickBot="1">
      <c r="A33" s="298">
        <f>+A32+1</f>
        <v>8</v>
      </c>
      <c r="B33" s="298"/>
      <c r="C33" s="309" t="s">
        <v>495</v>
      </c>
      <c r="D33" s="338">
        <f>IF(D32="",0,(D31+D32)/2)</f>
        <v>355664</v>
      </c>
      <c r="E33" s="338">
        <f>IF(E32="",0,(E31+E32)/2)</f>
        <v>0</v>
      </c>
      <c r="F33" s="339"/>
      <c r="G33" s="338">
        <f>IF(G32="",0,(G31+G32)/2)</f>
        <v>0</v>
      </c>
      <c r="H33" s="340"/>
      <c r="I33" s="338">
        <f>IF(I32="",0,(I31+I32)/2)</f>
        <v>355664</v>
      </c>
      <c r="J33" s="338">
        <f>IF(J32="",0,(J31+J32)/2)</f>
        <v>0</v>
      </c>
      <c r="K33" s="338">
        <f>IF(K32="",0,(K31+K32)/2)</f>
        <v>355664</v>
      </c>
      <c r="L33" s="316"/>
      <c r="M33" s="300"/>
      <c r="N33" s="300"/>
    </row>
    <row r="34" spans="1:14" ht="13.5" thickTop="1">
      <c r="B34" s="298"/>
      <c r="D34" s="317"/>
      <c r="E34" s="305"/>
      <c r="F34" s="305"/>
      <c r="H34" s="304"/>
      <c r="J34"/>
      <c r="K34" s="315"/>
      <c r="L34" s="316"/>
      <c r="M34" s="300"/>
      <c r="N34" s="300"/>
    </row>
    <row r="35" spans="1:14">
      <c r="A35" s="297"/>
      <c r="J35"/>
      <c r="K35" s="315"/>
      <c r="L35" s="316"/>
      <c r="M35" s="300"/>
      <c r="N35" s="300"/>
    </row>
    <row r="36" spans="1:14" ht="18">
      <c r="B36" s="1175" t="str">
        <f>"Prepayments Account 165 - Balance @ 12/31/"&amp;D38&amp;""</f>
        <v>Prepayments Account 165 - Balance @ 12/31/2026</v>
      </c>
      <c r="C36" s="1179"/>
      <c r="D36" s="1179"/>
      <c r="E36" s="1179"/>
      <c r="F36" s="1179"/>
      <c r="G36" s="1179"/>
      <c r="H36" s="1179"/>
      <c r="I36" s="1179"/>
      <c r="J36" s="1179"/>
      <c r="K36" s="315"/>
      <c r="L36" s="316"/>
      <c r="M36" s="300"/>
      <c r="N36" s="300"/>
    </row>
    <row r="37" spans="1:14">
      <c r="B37" s="75"/>
      <c r="C37" s="76"/>
      <c r="D37" s="7"/>
      <c r="E37" s="329"/>
      <c r="G37" s="329" t="s">
        <v>378</v>
      </c>
      <c r="I37" s="4" t="s">
        <v>407</v>
      </c>
      <c r="J37" s="4" t="s">
        <v>407</v>
      </c>
      <c r="K37" s="4" t="s">
        <v>469</v>
      </c>
      <c r="L37"/>
      <c r="M37" s="300"/>
      <c r="N37" s="300"/>
    </row>
    <row r="38" spans="1:14">
      <c r="B38" s="75"/>
      <c r="C38" s="341"/>
      <c r="D38" s="330" t="str">
        <f>""&amp;TCOS!L4</f>
        <v>2026</v>
      </c>
      <c r="E38" s="4" t="s">
        <v>319</v>
      </c>
      <c r="G38" s="4" t="s">
        <v>407</v>
      </c>
      <c r="I38" s="4" t="s">
        <v>309</v>
      </c>
      <c r="J38" s="4" t="s">
        <v>451</v>
      </c>
      <c r="K38" s="4" t="s">
        <v>470</v>
      </c>
      <c r="L38"/>
      <c r="M38" s="300"/>
      <c r="N38" s="300"/>
    </row>
    <row r="39" spans="1:14">
      <c r="A39" s="298">
        <f>+A33+1</f>
        <v>9</v>
      </c>
      <c r="B39" s="299" t="s">
        <v>381</v>
      </c>
      <c r="C39" s="299" t="s">
        <v>457</v>
      </c>
      <c r="D39" s="299" t="s">
        <v>379</v>
      </c>
      <c r="E39" s="299" t="s">
        <v>290</v>
      </c>
      <c r="G39" s="299" t="s">
        <v>310</v>
      </c>
      <c r="I39" s="299" t="s">
        <v>310</v>
      </c>
      <c r="J39" s="299" t="s">
        <v>310</v>
      </c>
      <c r="K39" s="299" t="s">
        <v>311</v>
      </c>
      <c r="L39" s="299" t="s">
        <v>363</v>
      </c>
      <c r="M39" s="300"/>
      <c r="N39" s="300"/>
    </row>
    <row r="40" spans="1:14">
      <c r="B40" s="75"/>
      <c r="C40" s="76"/>
      <c r="D40" s="76"/>
      <c r="E40" s="76"/>
      <c r="G40" s="76"/>
      <c r="I40" s="76"/>
      <c r="J40" s="76"/>
      <c r="K40" s="331"/>
      <c r="L40"/>
      <c r="M40" s="300"/>
      <c r="N40" s="300"/>
    </row>
    <row r="41" spans="1:14">
      <c r="A41" s="298">
        <f>+A39+1</f>
        <v>10</v>
      </c>
      <c r="B41" s="1041" t="s">
        <v>837</v>
      </c>
      <c r="C41" s="984" t="s">
        <v>794</v>
      </c>
      <c r="D41" s="353">
        <v>221738.17332618521</v>
      </c>
      <c r="E41" s="982">
        <f t="shared" ref="E41:E44" si="0">+D41-K41</f>
        <v>0</v>
      </c>
      <c r="F41" s="1045"/>
      <c r="G41" s="983"/>
      <c r="H41" s="1045"/>
      <c r="I41" s="983">
        <f t="shared" ref="I41:I44" si="1">+D41</f>
        <v>221738.17332618521</v>
      </c>
      <c r="J41" s="983"/>
      <c r="K41" s="983">
        <f t="shared" ref="K41:K44" si="2">+G41+I41+J41</f>
        <v>221738.17332618521</v>
      </c>
      <c r="L41" t="s">
        <v>826</v>
      </c>
      <c r="M41" s="300"/>
      <c r="N41" s="300"/>
    </row>
    <row r="42" spans="1:14">
      <c r="A42" s="298">
        <f>+A41+1</f>
        <v>11</v>
      </c>
      <c r="B42" s="1042" t="s">
        <v>913</v>
      </c>
      <c r="C42" s="984" t="s">
        <v>795</v>
      </c>
      <c r="D42" s="353">
        <v>7400.8367371837485</v>
      </c>
      <c r="E42" s="982">
        <f t="shared" si="0"/>
        <v>0</v>
      </c>
      <c r="F42" s="1045"/>
      <c r="G42" s="983"/>
      <c r="H42" s="1045"/>
      <c r="I42" s="983">
        <f t="shared" si="1"/>
        <v>7400.8367371837485</v>
      </c>
      <c r="J42" s="983"/>
      <c r="K42" s="983">
        <f t="shared" si="2"/>
        <v>7400.8367371837485</v>
      </c>
      <c r="L42" s="98"/>
      <c r="M42" s="300"/>
      <c r="N42" s="300"/>
    </row>
    <row r="43" spans="1:14">
      <c r="A43" s="298">
        <f t="shared" ref="A43:A56" si="3">+A42+1</f>
        <v>12</v>
      </c>
      <c r="B43" s="1043" t="s">
        <v>934</v>
      </c>
      <c r="C43" s="984" t="s">
        <v>795</v>
      </c>
      <c r="D43" s="353">
        <v>118854.19443659172</v>
      </c>
      <c r="E43" s="982">
        <f t="shared" si="0"/>
        <v>0</v>
      </c>
      <c r="F43" s="1045"/>
      <c r="G43" s="983"/>
      <c r="H43" s="1045"/>
      <c r="I43" s="983">
        <f t="shared" si="1"/>
        <v>118854.19443659172</v>
      </c>
      <c r="J43" s="983"/>
      <c r="K43" s="983">
        <f t="shared" si="2"/>
        <v>118854.19443659172</v>
      </c>
      <c r="L43" s="98"/>
      <c r="M43" s="300"/>
      <c r="N43" s="300"/>
    </row>
    <row r="44" spans="1:14">
      <c r="A44" s="298">
        <f t="shared" si="3"/>
        <v>13</v>
      </c>
      <c r="B44" s="1044" t="s">
        <v>935</v>
      </c>
      <c r="C44" s="984" t="s">
        <v>795</v>
      </c>
      <c r="D44" s="353">
        <v>7671.0255000392544</v>
      </c>
      <c r="E44" s="982">
        <f t="shared" si="0"/>
        <v>0</v>
      </c>
      <c r="F44" s="1045"/>
      <c r="G44" s="983"/>
      <c r="H44" s="1045"/>
      <c r="I44" s="983">
        <f t="shared" si="1"/>
        <v>7671.0255000392544</v>
      </c>
      <c r="J44" s="983"/>
      <c r="K44" s="983">
        <f t="shared" si="2"/>
        <v>7671.0255000392544</v>
      </c>
      <c r="L44" s="98"/>
      <c r="M44" s="300"/>
      <c r="N44" s="300"/>
    </row>
    <row r="45" spans="1:14">
      <c r="A45" s="298">
        <f t="shared" si="3"/>
        <v>14</v>
      </c>
      <c r="B45" s="1043"/>
      <c r="C45" s="984"/>
      <c r="D45" s="353"/>
      <c r="E45" s="982"/>
      <c r="F45" s="1045"/>
      <c r="G45" s="983"/>
      <c r="H45" s="1045"/>
      <c r="I45" s="983"/>
      <c r="J45" s="983"/>
      <c r="K45" s="983"/>
      <c r="L45" s="98"/>
      <c r="M45" s="300"/>
      <c r="N45" s="300"/>
    </row>
    <row r="46" spans="1:14">
      <c r="A46" s="298">
        <f t="shared" si="3"/>
        <v>15</v>
      </c>
      <c r="B46" s="1043"/>
      <c r="C46" s="984"/>
      <c r="D46" s="353"/>
      <c r="E46" s="982"/>
      <c r="F46" s="1045"/>
      <c r="G46" s="983"/>
      <c r="H46" s="1045"/>
      <c r="I46" s="983"/>
      <c r="J46" s="983"/>
      <c r="K46" s="983"/>
      <c r="L46" s="98"/>
      <c r="M46" s="300"/>
      <c r="N46" s="300"/>
    </row>
    <row r="47" spans="1:14">
      <c r="A47" s="298">
        <f t="shared" si="3"/>
        <v>16</v>
      </c>
      <c r="B47" s="1044"/>
      <c r="C47" s="984"/>
      <c r="D47" s="353"/>
      <c r="E47" s="982"/>
      <c r="F47" s="1045"/>
      <c r="G47" s="983"/>
      <c r="H47" s="1045"/>
      <c r="I47" s="983"/>
      <c r="J47" s="983"/>
      <c r="K47" s="983"/>
      <c r="L47"/>
      <c r="M47" s="300"/>
      <c r="N47" s="300"/>
    </row>
    <row r="48" spans="1:14">
      <c r="A48" s="298">
        <f t="shared" si="3"/>
        <v>17</v>
      </c>
      <c r="B48" s="1044"/>
      <c r="C48" s="984"/>
      <c r="D48" s="353"/>
      <c r="E48" s="982"/>
      <c r="F48" s="1045"/>
      <c r="G48" s="983"/>
      <c r="H48" s="1045"/>
      <c r="I48" s="983"/>
      <c r="J48" s="983"/>
      <c r="K48" s="983"/>
      <c r="L48" s="98"/>
      <c r="M48" s="300"/>
      <c r="N48" s="300"/>
    </row>
    <row r="49" spans="1:15">
      <c r="A49" s="298">
        <f t="shared" si="3"/>
        <v>18</v>
      </c>
      <c r="B49" s="1044"/>
      <c r="C49" s="984"/>
      <c r="D49" s="353"/>
      <c r="E49" s="982"/>
      <c r="F49" s="1045"/>
      <c r="G49" s="983"/>
      <c r="H49" s="1045"/>
      <c r="I49" s="983"/>
      <c r="J49" s="983"/>
      <c r="K49" s="983"/>
      <c r="L49"/>
      <c r="M49" s="300"/>
      <c r="N49" s="300"/>
    </row>
    <row r="50" spans="1:15">
      <c r="A50" s="298">
        <f t="shared" si="3"/>
        <v>19</v>
      </c>
      <c r="B50" s="1044"/>
      <c r="C50" s="984"/>
      <c r="D50" s="353"/>
      <c r="E50" s="982"/>
      <c r="F50" s="1045"/>
      <c r="G50" s="983"/>
      <c r="H50" s="1045"/>
      <c r="I50" s="983"/>
      <c r="J50" s="983"/>
      <c r="K50" s="983"/>
      <c r="L50" s="98"/>
      <c r="M50" s="300"/>
      <c r="N50" s="300"/>
    </row>
    <row r="51" spans="1:15" ht="14.25">
      <c r="A51" s="298">
        <f t="shared" si="3"/>
        <v>20</v>
      </c>
      <c r="B51" s="952"/>
      <c r="C51" s="699"/>
      <c r="D51" s="722"/>
      <c r="E51" s="342"/>
      <c r="G51" s="343"/>
      <c r="I51" s="343"/>
      <c r="J51" s="345"/>
      <c r="K51" s="344"/>
      <c r="L51"/>
      <c r="M51" s="300"/>
      <c r="N51" s="300"/>
    </row>
    <row r="52" spans="1:15" ht="14.25">
      <c r="A52" s="298">
        <f t="shared" si="3"/>
        <v>21</v>
      </c>
      <c r="B52" s="698"/>
      <c r="C52" s="699"/>
      <c r="D52" s="722"/>
      <c r="E52" s="342"/>
      <c r="G52" s="343"/>
      <c r="I52" s="343"/>
      <c r="J52" s="345"/>
      <c r="K52" s="344"/>
      <c r="L52"/>
      <c r="M52" s="300"/>
      <c r="N52" s="300"/>
    </row>
    <row r="53" spans="1:15" ht="14.25">
      <c r="A53" s="298">
        <f t="shared" si="3"/>
        <v>22</v>
      </c>
      <c r="B53" s="698"/>
      <c r="C53" s="699"/>
      <c r="D53" s="722"/>
      <c r="E53" s="342"/>
      <c r="G53" s="343"/>
      <c r="I53" s="343"/>
      <c r="J53" s="345"/>
      <c r="K53" s="344"/>
      <c r="L53"/>
      <c r="M53" s="300"/>
      <c r="N53" s="300"/>
    </row>
    <row r="54" spans="1:15" ht="14.25">
      <c r="A54" s="298">
        <f t="shared" si="3"/>
        <v>23</v>
      </c>
      <c r="B54" s="698"/>
      <c r="C54" s="699"/>
      <c r="D54" s="722"/>
      <c r="E54" s="342"/>
      <c r="G54" s="343"/>
      <c r="I54" s="343"/>
      <c r="J54" s="345"/>
      <c r="K54" s="344"/>
      <c r="L54"/>
      <c r="M54" s="300"/>
      <c r="N54" s="300"/>
    </row>
    <row r="55" spans="1:15" ht="14.25">
      <c r="A55" s="298">
        <f t="shared" si="3"/>
        <v>24</v>
      </c>
      <c r="B55" s="698"/>
      <c r="C55" s="699"/>
      <c r="D55" s="722"/>
      <c r="E55" s="342"/>
      <c r="G55" s="343"/>
      <c r="I55" s="343"/>
      <c r="J55" s="345"/>
      <c r="K55" s="344"/>
      <c r="L55"/>
      <c r="M55" s="300"/>
      <c r="N55" s="300"/>
    </row>
    <row r="56" spans="1:15" ht="15" thickBot="1">
      <c r="A56" s="298">
        <f t="shared" si="3"/>
        <v>25</v>
      </c>
      <c r="B56" s="698"/>
      <c r="C56" s="699"/>
      <c r="D56" s="722"/>
      <c r="E56" s="342"/>
      <c r="G56" s="343"/>
      <c r="I56" s="343"/>
      <c r="J56" s="343"/>
      <c r="K56" s="344"/>
      <c r="L56"/>
      <c r="M56" s="300"/>
      <c r="N56" s="300"/>
    </row>
    <row r="57" spans="1:15">
      <c r="B57" s="75"/>
      <c r="C57" s="346" t="s">
        <v>291</v>
      </c>
      <c r="D57" s="347">
        <f>SUM(D41:D56)</f>
        <v>355664.22999999992</v>
      </c>
      <c r="E57" s="348">
        <f>SUM(E41:E56)</f>
        <v>0</v>
      </c>
      <c r="G57" s="347">
        <f>SUM(G41:G56)</f>
        <v>0</v>
      </c>
      <c r="I57" s="347">
        <f>SUM(I41:I56)</f>
        <v>355664.22999999992</v>
      </c>
      <c r="J57" s="347">
        <f>SUM(J41:J56)</f>
        <v>0</v>
      </c>
      <c r="K57" s="347">
        <f>SUM(K41:K56)</f>
        <v>355664.22999999992</v>
      </c>
      <c r="L57"/>
      <c r="M57" s="300"/>
      <c r="N57" s="300"/>
    </row>
    <row r="58" spans="1:15">
      <c r="D58" s="349" t="s">
        <v>406</v>
      </c>
      <c r="K58" s="36"/>
      <c r="L58"/>
      <c r="M58" s="300"/>
      <c r="N58" s="300"/>
    </row>
    <row r="59" spans="1:15">
      <c r="B59"/>
      <c r="C59"/>
      <c r="D59"/>
      <c r="E59"/>
      <c r="F59"/>
      <c r="G59"/>
      <c r="H59"/>
      <c r="I59"/>
      <c r="J59"/>
      <c r="K59"/>
      <c r="L59"/>
      <c r="M59" s="300"/>
      <c r="N59" s="300"/>
      <c r="O59"/>
    </row>
    <row r="60" spans="1:15" ht="18">
      <c r="B60" s="1175" t="str">
        <f>"Prepayments Account 165 - Balance @ 12/31/ "&amp;D62&amp;""</f>
        <v>Prepayments Account 165 - Balance @ 12/31/ 2025</v>
      </c>
      <c r="C60" s="1175"/>
      <c r="D60" s="1175"/>
      <c r="E60" s="1175"/>
      <c r="F60" s="1175"/>
      <c r="G60" s="1175"/>
      <c r="H60" s="1175"/>
      <c r="I60" s="1175"/>
      <c r="J60" s="1175"/>
      <c r="K60" s="315"/>
      <c r="L60" s="316"/>
      <c r="M60" s="300"/>
      <c r="N60" s="300"/>
      <c r="O60"/>
    </row>
    <row r="61" spans="1:15">
      <c r="B61" s="350"/>
      <c r="C61" s="109"/>
      <c r="D61" s="351"/>
      <c r="E61" s="329"/>
      <c r="G61" s="329" t="s">
        <v>378</v>
      </c>
      <c r="I61" s="4" t="s">
        <v>407</v>
      </c>
      <c r="J61" s="4" t="s">
        <v>407</v>
      </c>
      <c r="K61" s="4" t="s">
        <v>469</v>
      </c>
      <c r="L61"/>
      <c r="M61" s="300"/>
      <c r="N61" s="300"/>
      <c r="O61"/>
    </row>
    <row r="62" spans="1:15">
      <c r="B62" s="350"/>
      <c r="C62" s="352"/>
      <c r="D62" s="4" t="str">
        <f>""&amp;TCOS!L4-1&amp;""</f>
        <v>2025</v>
      </c>
      <c r="E62" s="4" t="s">
        <v>319</v>
      </c>
      <c r="G62" s="4" t="s">
        <v>407</v>
      </c>
      <c r="I62" s="4" t="s">
        <v>309</v>
      </c>
      <c r="J62" s="4" t="s">
        <v>451</v>
      </c>
      <c r="K62" s="4" t="s">
        <v>470</v>
      </c>
      <c r="L62"/>
      <c r="M62" s="300"/>
      <c r="N62" s="300"/>
      <c r="O62"/>
    </row>
    <row r="63" spans="1:15">
      <c r="A63" s="298">
        <f>A56+1</f>
        <v>26</v>
      </c>
      <c r="B63" s="299" t="s">
        <v>381</v>
      </c>
      <c r="C63" s="299" t="s">
        <v>457</v>
      </c>
      <c r="D63" s="299" t="s">
        <v>379</v>
      </c>
      <c r="E63" s="299" t="s">
        <v>290</v>
      </c>
      <c r="G63" s="299" t="s">
        <v>310</v>
      </c>
      <c r="I63" s="299" t="s">
        <v>310</v>
      </c>
      <c r="J63" s="299" t="s">
        <v>310</v>
      </c>
      <c r="K63" s="299" t="s">
        <v>311</v>
      </c>
      <c r="L63" s="299" t="s">
        <v>363</v>
      </c>
      <c r="M63" s="300"/>
      <c r="N63" s="300"/>
      <c r="O63"/>
    </row>
    <row r="64" spans="1:15">
      <c r="B64" s="75"/>
      <c r="C64" s="76"/>
      <c r="D64" s="76"/>
      <c r="E64" s="76"/>
      <c r="G64" s="76"/>
      <c r="I64" s="76"/>
      <c r="J64" s="76"/>
      <c r="K64" s="76"/>
      <c r="L64"/>
      <c r="M64" s="300"/>
      <c r="N64" s="300"/>
      <c r="O64"/>
    </row>
    <row r="65" spans="1:15">
      <c r="A65" s="298">
        <f>+A63+1</f>
        <v>27</v>
      </c>
      <c r="B65" s="1041" t="s">
        <v>837</v>
      </c>
      <c r="C65" s="984" t="s">
        <v>794</v>
      </c>
      <c r="D65" s="353">
        <v>221738.17332618521</v>
      </c>
      <c r="E65" s="982">
        <f t="shared" ref="E65:E68" si="4">+D65-K65</f>
        <v>0</v>
      </c>
      <c r="F65" s="1045"/>
      <c r="G65" s="983"/>
      <c r="H65" s="1045"/>
      <c r="I65" s="983">
        <f t="shared" ref="I65:I68" si="5">+D65</f>
        <v>221738.17332618521</v>
      </c>
      <c r="J65" s="983"/>
      <c r="K65" s="983">
        <f t="shared" ref="K65:K68" si="6">+G65+I65+J65</f>
        <v>221738.17332618521</v>
      </c>
      <c r="L65" t="s">
        <v>826</v>
      </c>
      <c r="M65" s="300"/>
      <c r="N65" s="300"/>
      <c r="O65"/>
    </row>
    <row r="66" spans="1:15">
      <c r="A66" s="298">
        <f>+A65+1</f>
        <v>28</v>
      </c>
      <c r="B66" s="1042" t="s">
        <v>913</v>
      </c>
      <c r="C66" s="984" t="s">
        <v>795</v>
      </c>
      <c r="D66" s="353">
        <v>7400.8367371837485</v>
      </c>
      <c r="E66" s="982">
        <f t="shared" si="4"/>
        <v>0</v>
      </c>
      <c r="F66" s="1045"/>
      <c r="G66" s="983"/>
      <c r="H66" s="1045"/>
      <c r="I66" s="983">
        <f t="shared" si="5"/>
        <v>7400.8367371837485</v>
      </c>
      <c r="J66" s="983"/>
      <c r="K66" s="983">
        <f t="shared" si="6"/>
        <v>7400.8367371837485</v>
      </c>
      <c r="L66" s="98"/>
      <c r="M66" s="300"/>
      <c r="N66" s="300"/>
      <c r="O66"/>
    </row>
    <row r="67" spans="1:15">
      <c r="A67" s="298">
        <f t="shared" ref="A67:A80" si="7">+A66+1</f>
        <v>29</v>
      </c>
      <c r="B67" s="1043" t="s">
        <v>934</v>
      </c>
      <c r="C67" s="984" t="s">
        <v>795</v>
      </c>
      <c r="D67" s="353">
        <v>118854.19443659172</v>
      </c>
      <c r="E67" s="982">
        <f t="shared" si="4"/>
        <v>0</v>
      </c>
      <c r="F67" s="1045"/>
      <c r="G67" s="983"/>
      <c r="H67" s="1045"/>
      <c r="I67" s="983">
        <f t="shared" si="5"/>
        <v>118854.19443659172</v>
      </c>
      <c r="J67" s="983"/>
      <c r="K67" s="983">
        <f t="shared" si="6"/>
        <v>118854.19443659172</v>
      </c>
      <c r="L67" s="98"/>
      <c r="M67" s="300"/>
      <c r="N67" s="300"/>
      <c r="O67"/>
    </row>
    <row r="68" spans="1:15">
      <c r="A68" s="298">
        <f t="shared" si="7"/>
        <v>30</v>
      </c>
      <c r="B68" s="1044" t="s">
        <v>935</v>
      </c>
      <c r="C68" s="984" t="s">
        <v>795</v>
      </c>
      <c r="D68" s="353">
        <v>7671.0255000392544</v>
      </c>
      <c r="E68" s="982">
        <f t="shared" si="4"/>
        <v>0</v>
      </c>
      <c r="F68" s="1045"/>
      <c r="G68" s="983"/>
      <c r="H68" s="1045"/>
      <c r="I68" s="983">
        <f t="shared" si="5"/>
        <v>7671.0255000392544</v>
      </c>
      <c r="J68" s="983"/>
      <c r="K68" s="983">
        <f t="shared" si="6"/>
        <v>7671.0255000392544</v>
      </c>
      <c r="L68" s="98"/>
      <c r="M68" s="300"/>
      <c r="N68" s="300"/>
      <c r="O68"/>
    </row>
    <row r="69" spans="1:15">
      <c r="A69" s="298">
        <f t="shared" si="7"/>
        <v>31</v>
      </c>
      <c r="B69" s="1043"/>
      <c r="C69" s="984"/>
      <c r="D69" s="353"/>
      <c r="E69" s="982"/>
      <c r="F69" s="1045"/>
      <c r="G69" s="983"/>
      <c r="H69" s="1045"/>
      <c r="I69" s="983"/>
      <c r="J69" s="983"/>
      <c r="K69" s="983"/>
      <c r="L69" s="98"/>
      <c r="M69" s="300"/>
      <c r="N69" s="300"/>
      <c r="O69"/>
    </row>
    <row r="70" spans="1:15">
      <c r="A70" s="298">
        <f t="shared" si="7"/>
        <v>32</v>
      </c>
      <c r="B70" s="1043"/>
      <c r="C70" s="984"/>
      <c r="D70" s="353"/>
      <c r="E70" s="982"/>
      <c r="F70" s="1045"/>
      <c r="G70" s="983"/>
      <c r="H70" s="1045"/>
      <c r="I70" s="983"/>
      <c r="J70" s="983"/>
      <c r="K70" s="983"/>
      <c r="L70" s="98"/>
      <c r="M70" s="300"/>
      <c r="N70" s="300"/>
      <c r="O70"/>
    </row>
    <row r="71" spans="1:15">
      <c r="A71" s="298">
        <f t="shared" si="7"/>
        <v>33</v>
      </c>
      <c r="B71" s="1044"/>
      <c r="C71" s="984"/>
      <c r="D71" s="353"/>
      <c r="E71" s="982"/>
      <c r="F71" s="1045"/>
      <c r="G71" s="983"/>
      <c r="H71" s="1045"/>
      <c r="I71" s="983"/>
      <c r="J71" s="983"/>
      <c r="K71" s="983"/>
      <c r="L71"/>
      <c r="M71" s="300"/>
      <c r="N71" s="300"/>
      <c r="O71"/>
    </row>
    <row r="72" spans="1:15">
      <c r="A72" s="298">
        <f t="shared" si="7"/>
        <v>34</v>
      </c>
      <c r="B72" s="1044"/>
      <c r="C72" s="984"/>
      <c r="D72" s="353"/>
      <c r="E72" s="982"/>
      <c r="F72" s="1045"/>
      <c r="G72" s="983"/>
      <c r="H72" s="1045"/>
      <c r="I72" s="983"/>
      <c r="J72" s="983"/>
      <c r="K72" s="983"/>
      <c r="L72" s="98"/>
      <c r="M72" s="300"/>
      <c r="N72" s="300"/>
      <c r="O72"/>
    </row>
    <row r="73" spans="1:15">
      <c r="A73" s="298">
        <f t="shared" si="7"/>
        <v>35</v>
      </c>
      <c r="B73" s="1044"/>
      <c r="C73" s="984"/>
      <c r="D73" s="353"/>
      <c r="E73" s="982"/>
      <c r="F73" s="1045"/>
      <c r="G73" s="983"/>
      <c r="H73" s="1045"/>
      <c r="I73" s="983"/>
      <c r="J73" s="983"/>
      <c r="K73" s="983"/>
      <c r="L73"/>
      <c r="M73" s="300"/>
      <c r="N73" s="300"/>
      <c r="O73"/>
    </row>
    <row r="74" spans="1:15">
      <c r="A74" s="298">
        <f>+A71+1</f>
        <v>34</v>
      </c>
      <c r="B74" s="1044"/>
      <c r="C74" s="984"/>
      <c r="D74" s="353"/>
      <c r="E74" s="982"/>
      <c r="F74" s="1045"/>
      <c r="G74" s="983"/>
      <c r="H74" s="1045"/>
      <c r="I74" s="983"/>
      <c r="J74" s="983"/>
      <c r="K74" s="983"/>
      <c r="L74" s="98"/>
      <c r="M74" s="300"/>
      <c r="N74" s="300"/>
      <c r="O74"/>
    </row>
    <row r="75" spans="1:15" ht="14.25">
      <c r="A75" s="298">
        <f t="shared" si="7"/>
        <v>35</v>
      </c>
      <c r="B75" s="952"/>
      <c r="C75" s="699"/>
      <c r="D75" s="722"/>
      <c r="E75" s="343"/>
      <c r="G75" s="343"/>
      <c r="I75" s="343"/>
      <c r="J75" s="345"/>
      <c r="K75" s="344"/>
      <c r="L75"/>
      <c r="M75" s="300"/>
      <c r="N75" s="300"/>
      <c r="O75"/>
    </row>
    <row r="76" spans="1:15" ht="14.25">
      <c r="A76" s="298">
        <f t="shared" si="7"/>
        <v>36</v>
      </c>
      <c r="B76" s="698"/>
      <c r="C76" s="699"/>
      <c r="D76" s="722"/>
      <c r="E76" s="342"/>
      <c r="G76" s="343"/>
      <c r="I76" s="343"/>
      <c r="J76" s="345"/>
      <c r="K76" s="344"/>
      <c r="L76"/>
      <c r="M76" s="300"/>
      <c r="N76" s="300"/>
      <c r="O76"/>
    </row>
    <row r="77" spans="1:15" ht="14.25">
      <c r="A77" s="298">
        <f t="shared" si="7"/>
        <v>37</v>
      </c>
      <c r="B77" s="698"/>
      <c r="C77" s="699"/>
      <c r="D77" s="722"/>
      <c r="E77" s="342"/>
      <c r="G77" s="343"/>
      <c r="I77" s="343"/>
      <c r="J77" s="345"/>
      <c r="K77" s="344"/>
      <c r="L77"/>
      <c r="M77" s="300"/>
      <c r="N77" s="300"/>
      <c r="O77"/>
    </row>
    <row r="78" spans="1:15" ht="14.25">
      <c r="A78" s="298">
        <f t="shared" si="7"/>
        <v>38</v>
      </c>
      <c r="B78" s="698"/>
      <c r="C78" s="699"/>
      <c r="D78" s="722"/>
      <c r="E78" s="342"/>
      <c r="G78" s="343"/>
      <c r="I78" s="343"/>
      <c r="J78" s="345"/>
      <c r="K78" s="344"/>
      <c r="L78"/>
      <c r="M78" s="300"/>
      <c r="N78" s="300"/>
      <c r="O78"/>
    </row>
    <row r="79" spans="1:15" ht="14.25">
      <c r="A79" s="298">
        <f t="shared" si="7"/>
        <v>39</v>
      </c>
      <c r="B79" s="698"/>
      <c r="C79" s="699"/>
      <c r="D79" s="722"/>
      <c r="E79" s="342"/>
      <c r="G79" s="343"/>
      <c r="I79" s="343"/>
      <c r="J79" s="345"/>
      <c r="K79" s="344"/>
      <c r="L79"/>
      <c r="M79" s="300"/>
      <c r="N79" s="300"/>
      <c r="O79"/>
    </row>
    <row r="80" spans="1:15" ht="15" thickBot="1">
      <c r="A80" s="298">
        <f t="shared" si="7"/>
        <v>40</v>
      </c>
      <c r="B80" s="698"/>
      <c r="C80" s="699"/>
      <c r="D80" s="722"/>
      <c r="E80" s="342"/>
      <c r="G80" s="343"/>
      <c r="I80" s="343"/>
      <c r="J80" s="343"/>
      <c r="K80" s="344"/>
      <c r="L80"/>
      <c r="M80" s="300"/>
      <c r="N80" s="300"/>
      <c r="O80"/>
    </row>
    <row r="81" spans="1:15">
      <c r="B81" s="75"/>
      <c r="C81" s="346" t="s">
        <v>618</v>
      </c>
      <c r="D81" s="347">
        <f>SUM(D65:D80)</f>
        <v>355664.22999999992</v>
      </c>
      <c r="E81" s="348">
        <f>SUM(E65:E80)</f>
        <v>0</v>
      </c>
      <c r="G81" s="347">
        <f>SUM(G65:G80)</f>
        <v>0</v>
      </c>
      <c r="I81" s="347">
        <f>SUM(I65:I80)</f>
        <v>355664.22999999992</v>
      </c>
      <c r="J81" s="347">
        <f>SUM(J65:J80)</f>
        <v>0</v>
      </c>
      <c r="K81" s="347">
        <f>SUM(K65:K80)</f>
        <v>355664.22999999992</v>
      </c>
      <c r="L81"/>
      <c r="M81" s="300"/>
      <c r="N81" s="300"/>
      <c r="O81"/>
    </row>
    <row r="82" spans="1:15">
      <c r="B82" s="298"/>
      <c r="C82"/>
      <c r="D82"/>
      <c r="E82"/>
      <c r="F82"/>
      <c r="G82"/>
      <c r="H82"/>
      <c r="I82"/>
      <c r="J82"/>
      <c r="K82"/>
      <c r="L82"/>
      <c r="M82" s="300"/>
      <c r="N82" s="300"/>
      <c r="O82"/>
    </row>
    <row r="83" spans="1:15" ht="20.25" customHeight="1">
      <c r="A83" s="298" t="s">
        <v>687</v>
      </c>
      <c r="B83" s="1173" t="s">
        <v>767</v>
      </c>
      <c r="C83" s="1173"/>
      <c r="D83" s="1173"/>
      <c r="E83" s="1173"/>
      <c r="F83" s="1173"/>
      <c r="G83" s="1173"/>
      <c r="H83" s="1173"/>
      <c r="I83" s="1173"/>
      <c r="J83" s="1173"/>
      <c r="K83" s="1173"/>
      <c r="L83" s="1173"/>
      <c r="M83" s="300"/>
      <c r="N83" s="300"/>
      <c r="O83"/>
    </row>
    <row r="84" spans="1:15" ht="20.25" customHeight="1">
      <c r="A84" s="741"/>
      <c r="B84" s="1173"/>
      <c r="C84" s="1173"/>
      <c r="D84" s="1173"/>
      <c r="E84" s="1173"/>
      <c r="F84" s="1173"/>
      <c r="G84" s="1173"/>
      <c r="H84" s="1173"/>
      <c r="I84" s="1173"/>
      <c r="J84" s="1173"/>
      <c r="K84" s="1173"/>
      <c r="L84" s="1173"/>
      <c r="M84"/>
      <c r="N84"/>
      <c r="O84"/>
    </row>
    <row r="85" spans="1:15">
      <c r="A85"/>
      <c r="B85"/>
      <c r="C85"/>
      <c r="D85"/>
      <c r="E85"/>
      <c r="F85"/>
      <c r="G85"/>
      <c r="H85"/>
      <c r="I85"/>
      <c r="J85"/>
      <c r="K85"/>
      <c r="L85"/>
      <c r="M85"/>
      <c r="N85"/>
      <c r="O85"/>
    </row>
    <row r="86" spans="1:15">
      <c r="A86"/>
      <c r="B86"/>
      <c r="C86"/>
      <c r="D86"/>
      <c r="E86"/>
      <c r="F86"/>
      <c r="G86"/>
      <c r="H86"/>
      <c r="I86"/>
      <c r="J86"/>
      <c r="K86"/>
      <c r="L86"/>
      <c r="M86"/>
      <c r="N86"/>
      <c r="O86"/>
    </row>
    <row r="87" spans="1:15">
      <c r="A87"/>
      <c r="B87"/>
      <c r="C87"/>
      <c r="D87"/>
      <c r="E87"/>
      <c r="F87"/>
      <c r="G87"/>
      <c r="H87"/>
      <c r="I87"/>
      <c r="J87"/>
      <c r="K87"/>
      <c r="L87"/>
      <c r="M87"/>
      <c r="N87"/>
      <c r="O87"/>
    </row>
    <row r="88" spans="1:15">
      <c r="A88"/>
      <c r="B88"/>
      <c r="C88"/>
      <c r="D88"/>
      <c r="E88"/>
      <c r="F88"/>
      <c r="G88"/>
      <c r="H88"/>
      <c r="I88"/>
      <c r="J88"/>
      <c r="K88"/>
      <c r="L88"/>
      <c r="M88"/>
      <c r="N88"/>
      <c r="O88"/>
    </row>
    <row r="89" spans="1:15">
      <c r="A89"/>
      <c r="B89"/>
      <c r="C89"/>
      <c r="D89"/>
      <c r="E89"/>
      <c r="F89"/>
      <c r="G89"/>
      <c r="H89"/>
      <c r="I89"/>
      <c r="J89"/>
      <c r="K89"/>
      <c r="L89"/>
      <c r="M89"/>
      <c r="N89"/>
      <c r="O89"/>
    </row>
    <row r="90" spans="1:15">
      <c r="A90"/>
      <c r="B90"/>
      <c r="C90"/>
      <c r="D90"/>
      <c r="E90"/>
      <c r="F90"/>
      <c r="G90"/>
      <c r="H90"/>
      <c r="I90"/>
      <c r="J90"/>
      <c r="K90"/>
      <c r="L90"/>
      <c r="M90"/>
      <c r="N90"/>
      <c r="O90"/>
    </row>
    <row r="91" spans="1:15">
      <c r="A91"/>
      <c r="B91"/>
      <c r="C91"/>
      <c r="D91"/>
      <c r="E91"/>
      <c r="F91"/>
      <c r="G91"/>
      <c r="H91"/>
      <c r="I91"/>
      <c r="J91"/>
      <c r="K91"/>
      <c r="L91"/>
      <c r="M91"/>
      <c r="N91"/>
      <c r="O91"/>
    </row>
    <row r="92" spans="1:15">
      <c r="A92"/>
      <c r="B92"/>
      <c r="C92"/>
      <c r="D92"/>
      <c r="E92"/>
      <c r="F92"/>
      <c r="G92"/>
      <c r="H92"/>
      <c r="I92"/>
      <c r="J92"/>
      <c r="K92"/>
      <c r="L92"/>
      <c r="M92"/>
      <c r="N92"/>
      <c r="O92"/>
    </row>
    <row r="93" spans="1:15">
      <c r="A93"/>
      <c r="B93"/>
      <c r="C93"/>
      <c r="D93"/>
      <c r="E93"/>
      <c r="F93"/>
      <c r="G93"/>
      <c r="H93"/>
      <c r="I93"/>
      <c r="J93"/>
      <c r="K93"/>
      <c r="L93"/>
      <c r="M93"/>
      <c r="N93"/>
      <c r="O93"/>
    </row>
    <row r="94" spans="1:15">
      <c r="A94"/>
      <c r="B94"/>
      <c r="C94"/>
      <c r="D94"/>
      <c r="E94"/>
      <c r="F94"/>
      <c r="G94"/>
      <c r="H94"/>
      <c r="I94"/>
      <c r="J94"/>
      <c r="K94"/>
      <c r="L94"/>
      <c r="M94"/>
      <c r="N94"/>
      <c r="O94"/>
    </row>
    <row r="95" spans="1:15">
      <c r="A95"/>
      <c r="B95"/>
      <c r="C95"/>
      <c r="D95"/>
      <c r="E95"/>
      <c r="F95"/>
      <c r="G95"/>
      <c r="H95"/>
      <c r="I95"/>
      <c r="J95"/>
      <c r="K95"/>
      <c r="L95"/>
      <c r="M95"/>
      <c r="N95"/>
      <c r="O95"/>
    </row>
    <row r="96" spans="1:15">
      <c r="A96"/>
      <c r="B96"/>
      <c r="C96"/>
      <c r="D96"/>
      <c r="E96"/>
      <c r="F96"/>
      <c r="G96"/>
      <c r="H96"/>
      <c r="I96"/>
      <c r="J96"/>
      <c r="K96"/>
      <c r="L96"/>
      <c r="M96"/>
      <c r="N96"/>
      <c r="O96"/>
    </row>
    <row r="97" spans="1:15">
      <c r="A97"/>
      <c r="B97"/>
      <c r="C97"/>
      <c r="D97"/>
      <c r="E97"/>
      <c r="F97"/>
      <c r="G97"/>
      <c r="H97"/>
      <c r="I97"/>
      <c r="J97"/>
      <c r="K97"/>
      <c r="L97"/>
      <c r="M97"/>
      <c r="N97"/>
      <c r="O97"/>
    </row>
    <row r="98" spans="1:15">
      <c r="A98"/>
      <c r="B98"/>
      <c r="C98"/>
      <c r="D98"/>
      <c r="E98"/>
      <c r="F98"/>
      <c r="G98"/>
      <c r="H98"/>
      <c r="I98"/>
      <c r="J98"/>
      <c r="K98"/>
      <c r="L98"/>
      <c r="M98"/>
      <c r="N98"/>
      <c r="O98"/>
    </row>
    <row r="99" spans="1:15">
      <c r="A99"/>
      <c r="B99"/>
      <c r="C99"/>
      <c r="D99"/>
      <c r="E99"/>
      <c r="F99"/>
      <c r="G99"/>
      <c r="H99"/>
      <c r="I99"/>
      <c r="J99"/>
      <c r="K99"/>
      <c r="L99"/>
      <c r="M99"/>
      <c r="N99"/>
      <c r="O99"/>
    </row>
    <row r="100" spans="1:15">
      <c r="A100"/>
      <c r="B100"/>
      <c r="C100"/>
      <c r="D100"/>
      <c r="E100"/>
      <c r="F100"/>
      <c r="G100"/>
      <c r="H100"/>
      <c r="I100"/>
      <c r="J100"/>
      <c r="K100"/>
      <c r="L100"/>
      <c r="M100"/>
      <c r="N100"/>
      <c r="O100"/>
    </row>
    <row r="101" spans="1:15">
      <c r="A101"/>
      <c r="B101"/>
      <c r="C101"/>
      <c r="D101"/>
      <c r="E101"/>
      <c r="F101"/>
      <c r="G101"/>
      <c r="H101"/>
      <c r="I101"/>
      <c r="J101"/>
      <c r="K101"/>
      <c r="L101"/>
      <c r="M101"/>
      <c r="N101"/>
      <c r="O101"/>
    </row>
    <row r="102" spans="1:15">
      <c r="A102"/>
      <c r="B102"/>
      <c r="C102"/>
      <c r="D102"/>
      <c r="E102"/>
      <c r="F102"/>
      <c r="G102"/>
      <c r="H102"/>
      <c r="I102"/>
      <c r="J102"/>
      <c r="K102"/>
      <c r="L102"/>
      <c r="M102"/>
      <c r="N102"/>
      <c r="O102"/>
    </row>
    <row r="103" spans="1:15">
      <c r="A103"/>
      <c r="B103"/>
      <c r="C103"/>
      <c r="D103"/>
      <c r="E103"/>
      <c r="F103"/>
      <c r="G103"/>
      <c r="H103"/>
      <c r="I103"/>
      <c r="J103"/>
      <c r="K103"/>
      <c r="L103"/>
      <c r="M103"/>
      <c r="N103"/>
      <c r="O103"/>
    </row>
    <row r="104" spans="1:15">
      <c r="A104"/>
      <c r="B104"/>
      <c r="C104"/>
      <c r="D104"/>
      <c r="E104"/>
      <c r="F104"/>
      <c r="G104"/>
      <c r="H104"/>
      <c r="I104"/>
      <c r="J104"/>
      <c r="K104"/>
      <c r="L104"/>
      <c r="M104"/>
      <c r="N104"/>
      <c r="O104"/>
    </row>
    <row r="105" spans="1:15">
      <c r="A105"/>
      <c r="B105"/>
      <c r="C105"/>
      <c r="D105"/>
      <c r="E105"/>
      <c r="F105"/>
      <c r="G105"/>
      <c r="H105"/>
      <c r="I105"/>
      <c r="J105"/>
      <c r="K105"/>
      <c r="L105"/>
      <c r="M105"/>
      <c r="N105"/>
      <c r="O105"/>
    </row>
    <row r="106" spans="1:15">
      <c r="A106"/>
      <c r="B106"/>
      <c r="C106"/>
      <c r="D106"/>
      <c r="E106"/>
      <c r="F106"/>
      <c r="G106"/>
      <c r="H106"/>
      <c r="I106"/>
      <c r="J106"/>
      <c r="K106"/>
      <c r="L106"/>
      <c r="M106"/>
      <c r="N106"/>
      <c r="O106"/>
    </row>
    <row r="107" spans="1:15">
      <c r="A107"/>
      <c r="B107"/>
      <c r="C107"/>
      <c r="D107"/>
      <c r="E107"/>
      <c r="F107"/>
      <c r="G107"/>
      <c r="H107"/>
      <c r="I107"/>
      <c r="J107"/>
      <c r="K107"/>
      <c r="L107"/>
      <c r="M107"/>
      <c r="N107"/>
      <c r="O107"/>
    </row>
  </sheetData>
  <mergeCells count="12">
    <mergeCell ref="B83:L84"/>
    <mergeCell ref="B10:K10"/>
    <mergeCell ref="A3:L3"/>
    <mergeCell ref="A4:L4"/>
    <mergeCell ref="A5:L5"/>
    <mergeCell ref="A6:L6"/>
    <mergeCell ref="B60:J60"/>
    <mergeCell ref="B26:K26"/>
    <mergeCell ref="E12:E13"/>
    <mergeCell ref="I12:I13"/>
    <mergeCell ref="B36:J36"/>
    <mergeCell ref="G12:G13"/>
  </mergeCells>
  <phoneticPr fontId="3" type="noConversion"/>
  <pageMargins left="1.08" right="0.75" top="0.7" bottom="0.41" header="0.75" footer="0.27"/>
  <pageSetup scale="44" orientation="landscape" r:id="rId1"/>
  <headerFooter alignWithMargins="0">
    <oddHeader>&amp;R&amp;"Arial,Bold"Formula Rate
&amp;A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O38"/>
  <sheetViews>
    <sheetView workbookViewId="0">
      <selection activeCell="M40" sqref="M40"/>
    </sheetView>
  </sheetViews>
  <sheetFormatPr defaultColWidth="8.85546875" defaultRowHeight="12.75"/>
  <cols>
    <col min="1" max="1" width="9.140625" style="1" customWidth="1"/>
    <col min="2" max="2" width="65.140625" bestFit="1" customWidth="1"/>
    <col min="3" max="3" width="13.5703125" bestFit="1" customWidth="1"/>
    <col min="4" max="4" width="1.5703125" customWidth="1"/>
    <col min="5" max="5" width="15" bestFit="1" customWidth="1"/>
  </cols>
  <sheetData>
    <row r="1" spans="1:15" ht="15.75">
      <c r="A1" s="730"/>
    </row>
    <row r="2" spans="1:15" ht="15.75">
      <c r="A2" s="730"/>
    </row>
    <row r="3" spans="1:15" ht="15">
      <c r="A3" s="1148" t="str">
        <f>TCOS!$F$5</f>
        <v>AEPTCo subsidiaries in PJM</v>
      </c>
      <c r="B3" s="1148" t="str">
        <f>TCOS!$F$5</f>
        <v>AEPTCo subsidiaries in PJM</v>
      </c>
      <c r="C3" s="1148" t="str">
        <f>TCOS!$F$5</f>
        <v>AEPTCo subsidiaries in PJM</v>
      </c>
      <c r="D3" s="1148" t="str">
        <f>TCOS!$F$5</f>
        <v>AEPTCo subsidiaries in PJM</v>
      </c>
      <c r="E3" s="1148" t="str">
        <f>TCOS!$F$5</f>
        <v>AEPTCo subsidiaries in PJM</v>
      </c>
      <c r="F3" s="17"/>
      <c r="G3" s="17"/>
      <c r="H3" s="17"/>
      <c r="I3" s="17"/>
      <c r="J3" s="17"/>
      <c r="K3" s="17"/>
      <c r="L3" s="17"/>
      <c r="M3" s="17"/>
      <c r="N3" s="17"/>
      <c r="O3" s="17"/>
    </row>
    <row r="4" spans="1:15" ht="15">
      <c r="A4" s="1149" t="str">
        <f>"Cost of Service Formula Rate Using Actual/Projected FF1 Balances"</f>
        <v>Cost of Service Formula Rate Using Actual/Projected FF1 Balances</v>
      </c>
      <c r="B4" s="1149"/>
      <c r="C4" s="1149"/>
      <c r="D4" s="1149"/>
      <c r="E4" s="1149"/>
      <c r="F4" s="44"/>
      <c r="G4" s="44"/>
      <c r="H4" s="44"/>
      <c r="I4" s="44"/>
      <c r="J4" s="44"/>
      <c r="K4" s="44"/>
      <c r="L4" s="44"/>
      <c r="M4" s="45"/>
      <c r="N4" s="45"/>
      <c r="O4" s="45"/>
    </row>
    <row r="5" spans="1:15" ht="15">
      <c r="A5" s="1149" t="s">
        <v>543</v>
      </c>
      <c r="B5" s="1149"/>
      <c r="C5" s="1149"/>
      <c r="D5" s="1149"/>
      <c r="E5" s="1149"/>
      <c r="F5" s="44"/>
      <c r="G5" s="44"/>
      <c r="H5" s="44"/>
      <c r="I5" s="44"/>
      <c r="J5" s="44"/>
      <c r="K5" s="44"/>
      <c r="L5" s="44"/>
      <c r="M5" s="44"/>
      <c r="N5" s="44"/>
      <c r="O5" s="44"/>
    </row>
    <row r="6" spans="1:15" ht="15">
      <c r="A6" s="1159" t="str">
        <f>TCOS!F9</f>
        <v>AEP Ohio Transmission Company</v>
      </c>
      <c r="B6" s="1159"/>
      <c r="C6" s="1159"/>
      <c r="D6" s="1159"/>
      <c r="E6" s="1159"/>
      <c r="F6" s="2"/>
      <c r="G6" s="2"/>
      <c r="H6" s="2"/>
      <c r="I6" s="2"/>
      <c r="J6" s="2"/>
      <c r="K6" s="2"/>
      <c r="L6" s="2"/>
      <c r="M6" s="2"/>
      <c r="N6" s="2"/>
      <c r="O6" s="2"/>
    </row>
    <row r="8" spans="1:15">
      <c r="A8" s="69" t="s">
        <v>459</v>
      </c>
      <c r="B8" s="70" t="s">
        <v>452</v>
      </c>
      <c r="C8" s="70" t="s">
        <v>453</v>
      </c>
    </row>
    <row r="9" spans="1:15">
      <c r="A9" s="69" t="s">
        <v>397</v>
      </c>
      <c r="B9" s="69" t="s">
        <v>457</v>
      </c>
      <c r="C9" s="69">
        <f>+TCOS!L4</f>
        <v>2026</v>
      </c>
    </row>
    <row r="10" spans="1:15">
      <c r="B10" s="98"/>
      <c r="C10" s="70"/>
    </row>
    <row r="11" spans="1:15">
      <c r="A11" s="1">
        <v>1</v>
      </c>
      <c r="B11" s="908" t="str">
        <f>"Net Funds from IPP Customers 12/31/"&amp;TCOS!L4-1&amp;" ("&amp;TCOS!L4&amp;" FORM 1, P269)"</f>
        <v>Net Funds from IPP Customers 12/31/2025 (2026 FORM 1, P269)</v>
      </c>
      <c r="C11" s="366">
        <v>0</v>
      </c>
    </row>
    <row r="12" spans="1:15">
      <c r="B12" s="3"/>
    </row>
    <row r="13" spans="1:15">
      <c r="A13" s="354">
        <v>2</v>
      </c>
      <c r="B13" s="908" t="s">
        <v>251</v>
      </c>
      <c r="C13" s="366">
        <v>0</v>
      </c>
    </row>
    <row r="14" spans="1:15">
      <c r="A14" s="354"/>
      <c r="B14" s="908"/>
    </row>
    <row r="15" spans="1:15">
      <c r="A15" s="354">
        <f>+A13+1</f>
        <v>3</v>
      </c>
      <c r="B15" s="908" t="s">
        <v>329</v>
      </c>
      <c r="C15" s="366">
        <v>0</v>
      </c>
    </row>
    <row r="16" spans="1:15">
      <c r="A16" s="354"/>
      <c r="B16" s="908"/>
    </row>
    <row r="17" spans="1:4">
      <c r="A17" s="354">
        <f>+A15+1</f>
        <v>4</v>
      </c>
      <c r="B17" s="909" t="s">
        <v>0</v>
      </c>
    </row>
    <row r="18" spans="1:4">
      <c r="A18" s="355">
        <f>+A17+1</f>
        <v>5</v>
      </c>
      <c r="B18" s="908" t="s">
        <v>330</v>
      </c>
      <c r="C18" s="366">
        <v>0</v>
      </c>
    </row>
    <row r="19" spans="1:4">
      <c r="A19" s="355">
        <f>+A18+1</f>
        <v>6</v>
      </c>
      <c r="B19" s="47" t="s">
        <v>406</v>
      </c>
      <c r="C19" s="366">
        <v>0</v>
      </c>
    </row>
    <row r="20" spans="1:4">
      <c r="A20" s="355"/>
      <c r="B20" s="3"/>
      <c r="C20" s="358"/>
    </row>
    <row r="21" spans="1:4">
      <c r="A21" s="355">
        <f>+A19+1</f>
        <v>7</v>
      </c>
      <c r="B21" s="908" t="str">
        <f>"Net Funds from IPP Customers 12/31/"&amp;TCOS!L4&amp;" ("&amp;TCOS!L4&amp;" FORM 1, P269)"</f>
        <v>Net Funds from IPP Customers 12/31/2026 (2026 FORM 1, P269)</v>
      </c>
      <c r="C21" s="359">
        <f>+C11+C13+C15+C18+C19</f>
        <v>0</v>
      </c>
      <c r="D21" s="360"/>
    </row>
    <row r="22" spans="1:4">
      <c r="A22" s="355"/>
      <c r="B22" s="357"/>
    </row>
    <row r="23" spans="1:4">
      <c r="A23" s="355">
        <f>+A21+1</f>
        <v>8</v>
      </c>
      <c r="B23" s="356" t="str">
        <f>"Average Balance for Year as Indicated in Column ((ln "&amp;A11&amp;" + ln "&amp;A21&amp;")/2)"</f>
        <v>Average Balance for Year as Indicated in Column ((ln 1 + ln 7)/2)</v>
      </c>
      <c r="C23" s="361">
        <f>AVERAGE(C21,C11)</f>
        <v>0</v>
      </c>
    </row>
    <row r="24" spans="1:4">
      <c r="A24" s="355"/>
      <c r="B24" s="357"/>
    </row>
    <row r="25" spans="1:4">
      <c r="A25" s="355"/>
      <c r="B25" s="357"/>
      <c r="C25" s="359"/>
    </row>
    <row r="26" spans="1:4" ht="15">
      <c r="A26" s="362" t="s">
        <v>287</v>
      </c>
      <c r="B26" s="1180" t="str">
        <f>"On this worksheet Company Records refers to  "&amp;A6&amp;"'s general ledger."</f>
        <v>On this worksheet Company Records refers to  AEP Ohio Transmission Company's general ledger.</v>
      </c>
      <c r="C26" s="210"/>
    </row>
    <row r="27" spans="1:4">
      <c r="A27" s="363"/>
      <c r="B27" s="1181"/>
    </row>
    <row r="32" spans="1:4">
      <c r="D32" s="364"/>
    </row>
    <row r="38" spans="3:3">
      <c r="C38" s="365"/>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jczNjg5PC9Vc2VyTmFtZT48RGF0ZVRpbWU+OS8yNy8yMDIzIDExOjM5OjI3IEFNPC9EYXRlVGltZT48TGFiZWxTdHJpbmc+QUVQIEludGVybmFsPC9MYWJlbFN0cmluZz48L2l0ZW0+PC9sYWJlbEhpc3Rvcnk+</Value>
</WrappedLabelHistory>
</file>

<file path=customXml/item2.xml><?xml version="1.0" encoding="utf-8"?>
<sisl xmlns:xsd="http://www.w3.org/2001/XMLSchema" xmlns:xsi="http://www.w3.org/2001/XMLSchema-instance" xmlns="http://www.boldonjames.com/2008/01/sie/internal/label" sislVersion="0" policy="e9c0b8d7-bdb4-4fd3-b62a-f50327aaefce" origin="autoSelectedSuggestion">
  <element uid="50c31824-0780-4910-87d1-eaaffd182d42" value=""/>
  <element uid="c64218ab-b8d1-40b6-a478-cb8be1e10ecc" value=""/>
</sisl>
</file>

<file path=customXml/itemProps1.xml><?xml version="1.0" encoding="utf-8"?>
<ds:datastoreItem xmlns:ds="http://schemas.openxmlformats.org/officeDocument/2006/customXml" ds:itemID="{1DCB4B1C-E5E1-4512-AD19-12B15D3D8F4E}">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EEB02F72-2A76-4AF6-9AAC-F9B40F1F1A7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24</vt:i4>
      </vt:variant>
    </vt:vector>
  </HeadingPairs>
  <TitlesOfParts>
    <vt:vector size="50" baseType="lpstr">
      <vt:lpstr>TCOS</vt:lpstr>
      <vt:lpstr>WS A - Rate Base Support</vt:lpstr>
      <vt:lpstr>WS B ADIT &amp; ITC</vt:lpstr>
      <vt:lpstr>WS B-1 - Actual Stmt. AF</vt:lpstr>
      <vt:lpstr>WS B-2 - Actual Stmt. AG</vt:lpstr>
      <vt:lpstr>WS B-3</vt:lpstr>
      <vt:lpstr>WS-B-3-A-Remeas Suprt</vt:lpstr>
      <vt:lpstr>WS C  - Working Capital</vt:lpstr>
      <vt:lpstr>WS D IPP Credits</vt:lpstr>
      <vt:lpstr>WS E Rev Credits</vt:lpstr>
      <vt:lpstr>WS F Misc Exp</vt:lpstr>
      <vt:lpstr>WS G  State Tax Rate</vt:lpstr>
      <vt:lpstr>WS H-p1 Other Taxes</vt:lpstr>
      <vt:lpstr>WS H-p2 Detail of Tax Amts</vt:lpstr>
      <vt:lpstr>WS I RESERVED</vt:lpstr>
      <vt:lpstr>WS K TRUE-UP RTEP RR</vt:lpstr>
      <vt:lpstr>WS J PROJECTED RTEP RR</vt:lpstr>
      <vt:lpstr>WS R Schedule 1A</vt:lpstr>
      <vt:lpstr>WS L RESERVED</vt:lpstr>
      <vt:lpstr>WS M - Cost of Capital</vt:lpstr>
      <vt:lpstr>WS N - Sale of Plant Held</vt:lpstr>
      <vt:lpstr>Worksheet O</vt:lpstr>
      <vt:lpstr>WS P Dep. Rates</vt:lpstr>
      <vt:lpstr>WS Q Cap Structure</vt:lpstr>
      <vt:lpstr>WS R Interest</vt:lpstr>
      <vt:lpstr>WS R Schedule 12</vt:lpstr>
      <vt:lpstr>NP_h</vt:lpstr>
      <vt:lpstr>NPh</vt:lpstr>
      <vt:lpstr>TCOS!Print_Area</vt:lpstr>
      <vt:lpstr>'Worksheet O'!Print_Area</vt:lpstr>
      <vt:lpstr>'WS B ADIT &amp; ITC'!Print_Area</vt:lpstr>
      <vt:lpstr>'WS D IPP Credits'!Print_Area</vt:lpstr>
      <vt:lpstr>'WS E Rev Credits'!Print_Area</vt:lpstr>
      <vt:lpstr>'WS F Misc Exp'!Print_Area</vt:lpstr>
      <vt:lpstr>'WS G  State Tax Rate'!Print_Area</vt:lpstr>
      <vt:lpstr>'WS H-p1 Other Taxes'!Print_Area</vt:lpstr>
      <vt:lpstr>'WS H-p2 Detail of Tax Amts'!Print_Area</vt:lpstr>
      <vt:lpstr>'WS I RESERVED'!Print_Area</vt:lpstr>
      <vt:lpstr>'WS J PROJECTED RTEP RR'!Print_Area</vt:lpstr>
      <vt:lpstr>'WS K TRUE-UP RTEP RR'!Print_Area</vt:lpstr>
      <vt:lpstr>'WS L RESERVED'!Print_Area</vt:lpstr>
      <vt:lpstr>'WS N - Sale of Plant Held'!Print_Area</vt:lpstr>
      <vt:lpstr>'WS Q Cap Structure'!Print_Area</vt:lpstr>
      <vt:lpstr>'WS R Interest'!Print_Area</vt:lpstr>
      <vt:lpstr>'WS A - Rate Base Support'!Print_Titles</vt:lpstr>
      <vt:lpstr>'WS C  - Working Capital'!Print_Titles</vt:lpstr>
      <vt:lpstr>'WS H-p1 Other Taxes'!Print_Titles</vt:lpstr>
      <vt:lpstr>'WS H-p2 Detail of Tax Amts'!Print_Titles</vt:lpstr>
      <vt:lpstr>'WS M - Cost of Capital'!Print_Titles</vt:lpstr>
      <vt:lpstr>'WS P Dep. Rates'!Print_Titles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2025-10-29T16:29:13Z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4e49970c-354c-40b2-9b3c-68e2051e0ac7</vt:lpwstr>
  </property>
  <property fmtid="{D5CDD505-2E9C-101B-9397-08002B2CF9AE}" pid="3" name="bjSaver">
    <vt:lpwstr>8nLAsadz8EP4iOoOx2MGVCL7CmDu+dAi</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DocumentLabelXML">
    <vt:lpwstr>&lt;?xml version="1.0" encoding="us-ascii"?&gt;&lt;sisl xmlns:xsd="http://www.w3.org/2001/XMLSchema" xmlns:xsi="http://www.w3.org/2001/XMLSchema-instance" sislVersion="0" policy="e9c0b8d7-bdb4-4fd3-b62a-f50327aaefce" origin="autoSelectedSuggestion" xmlns="http://w</vt:lpwstr>
  </property>
  <property fmtid="{D5CDD505-2E9C-101B-9397-08002B2CF9AE}" pid="7" name="bjDocumentLabelXML-0">
    <vt:lpwstr>ww.boldonjames.com/2008/01/sie/internal/label"&gt;&lt;element uid="50c31824-0780-4910-87d1-eaaffd182d42" value="" /&gt;&lt;element uid="c64218ab-b8d1-40b6-a478-cb8be1e10ecc" value="" /&gt;&lt;/sisl&gt;</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ClsUserRVM">
    <vt:lpwstr>[]</vt:lpwstr>
  </property>
  <property fmtid="{D5CDD505-2E9C-101B-9397-08002B2CF9AE}" pid="12" name="bjLabelHistoryID">
    <vt:lpwstr>{1DCB4B1C-E5E1-4512-AD19-12B15D3D8F4E}</vt:lpwstr>
  </property>
</Properties>
</file>